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601_Coffee Tour\"/>
    </mc:Choice>
  </mc:AlternateContent>
  <bookViews>
    <workbookView xWindow="240" yWindow="75" windowWidth="20055" windowHeight="7935" tabRatio="741"/>
  </bookViews>
  <sheets>
    <sheet name="Summary" sheetId="13" r:id="rId1"/>
    <sheet name="Programme_CoffeeAmigos" sheetId="10" r:id="rId2"/>
    <sheet name="Expense_CoffeeAmigos2016" sheetId="9" r:id="rId3"/>
    <sheet name="Programme_Suntory" sheetId="12" r:id="rId4"/>
    <sheet name="ExpenseSuntory2015" sheetId="11" r:id="rId5"/>
  </sheets>
  <definedNames>
    <definedName name="_xlnm._FilterDatabase" localSheetId="2" hidden="1">Expense_CoffeeAmigos2016!$P$1:$P$49</definedName>
    <definedName name="_xlnm.Print_Titles" localSheetId="1">Programme_CoffeeAmigos!$A:$C,Programme_CoffeeAmigos!$1:$4</definedName>
    <definedName name="_xlnm.Print_Titles" localSheetId="3">Programme_Suntory!$A:$C,Programme_Suntory!$1:$4</definedName>
  </definedNames>
  <calcPr calcId="152511"/>
</workbook>
</file>

<file path=xl/calcChain.xml><?xml version="1.0" encoding="utf-8"?>
<calcChain xmlns="http://schemas.openxmlformats.org/spreadsheetml/2006/main">
  <c r="Y37" i="9" l="1"/>
  <c r="Y39" i="9"/>
  <c r="Z37" i="9"/>
  <c r="Y4" i="9"/>
  <c r="Z4" i="9"/>
  <c r="Z39" i="9"/>
  <c r="V39" i="9"/>
  <c r="V37" i="9"/>
  <c r="Q39" i="9"/>
  <c r="R39" i="9"/>
  <c r="B6" i="13" s="1"/>
  <c r="J6" i="13" s="1"/>
  <c r="R37" i="9"/>
  <c r="U39" i="9"/>
  <c r="U37" i="9"/>
  <c r="Q37" i="9"/>
  <c r="U11" i="9"/>
  <c r="V11" i="9"/>
  <c r="W11" i="9" s="1"/>
  <c r="B5" i="13"/>
  <c r="G5" i="13" s="1"/>
  <c r="B4" i="13"/>
  <c r="Y4" i="13" s="1"/>
  <c r="AA39" i="9"/>
  <c r="W39" i="9"/>
  <c r="AA37" i="9"/>
  <c r="W37" i="9"/>
  <c r="Q38" i="9"/>
  <c r="Z16" i="9"/>
  <c r="V16" i="9"/>
  <c r="R16" i="9"/>
  <c r="V4" i="9"/>
  <c r="V38" i="9" s="1"/>
  <c r="U4" i="9"/>
  <c r="R4" i="9"/>
  <c r="Q4" i="9"/>
  <c r="Z26" i="9"/>
  <c r="Y26" i="9"/>
  <c r="Z25" i="9"/>
  <c r="Y25" i="9"/>
  <c r="Z24" i="9"/>
  <c r="Y24" i="9"/>
  <c r="Z23" i="9"/>
  <c r="Y23" i="9"/>
  <c r="Z18" i="9"/>
  <c r="Y18" i="9"/>
  <c r="Z17" i="9"/>
  <c r="V26" i="9"/>
  <c r="U26" i="9"/>
  <c r="V25" i="9"/>
  <c r="U25" i="9"/>
  <c r="V24" i="9"/>
  <c r="U24" i="9"/>
  <c r="V23" i="9"/>
  <c r="U23" i="9"/>
  <c r="V18" i="9"/>
  <c r="U18" i="9"/>
  <c r="V17" i="9"/>
  <c r="R10" i="9"/>
  <c r="Z10" i="9" s="1"/>
  <c r="Q10" i="9"/>
  <c r="U10" i="9" s="1"/>
  <c r="Q9" i="9"/>
  <c r="Y9" i="9" s="1"/>
  <c r="R9" i="9"/>
  <c r="V9" i="9" s="1"/>
  <c r="AA29" i="9"/>
  <c r="AA28" i="9"/>
  <c r="AA22" i="9"/>
  <c r="AA21" i="9"/>
  <c r="AA15" i="9"/>
  <c r="AA14" i="9"/>
  <c r="AA8" i="9"/>
  <c r="AA7" i="9"/>
  <c r="W29" i="9"/>
  <c r="W28" i="9"/>
  <c r="W22" i="9"/>
  <c r="W21" i="9"/>
  <c r="W15" i="9"/>
  <c r="W14" i="9"/>
  <c r="W8" i="9"/>
  <c r="W7" i="9"/>
  <c r="R26" i="9"/>
  <c r="S26" i="9" s="1"/>
  <c r="Q26" i="9"/>
  <c r="R25" i="9"/>
  <c r="Q25" i="9"/>
  <c r="R24" i="9"/>
  <c r="S24" i="9" s="1"/>
  <c r="Q24" i="9"/>
  <c r="R23" i="9"/>
  <c r="Q23" i="9"/>
  <c r="R18" i="9"/>
  <c r="S18" i="9" s="1"/>
  <c r="Q18" i="9"/>
  <c r="R17" i="9"/>
  <c r="S7" i="9"/>
  <c r="S8" i="9"/>
  <c r="S11" i="9"/>
  <c r="S14" i="9"/>
  <c r="S15" i="9"/>
  <c r="S21" i="9"/>
  <c r="S22" i="9"/>
  <c r="S28" i="9"/>
  <c r="S29" i="9"/>
  <c r="K18" i="9"/>
  <c r="F18" i="9"/>
  <c r="K5" i="9"/>
  <c r="U5" i="9" s="1"/>
  <c r="K4" i="9"/>
  <c r="Z38" i="9" l="1"/>
  <c r="L4" i="13"/>
  <c r="S5" i="13"/>
  <c r="X4" i="13"/>
  <c r="C4" i="13"/>
  <c r="H4" i="13"/>
  <c r="O5" i="13"/>
  <c r="I6" i="13"/>
  <c r="T4" i="13"/>
  <c r="D4" i="13"/>
  <c r="K5" i="13"/>
  <c r="E6" i="13"/>
  <c r="P4" i="13"/>
  <c r="W5" i="13"/>
  <c r="F5" i="13"/>
  <c r="R6" i="13"/>
  <c r="T6" i="13" s="1"/>
  <c r="O6" i="13"/>
  <c r="M6" i="13"/>
  <c r="L6" i="13"/>
  <c r="P6" i="13"/>
  <c r="Q6" i="13"/>
  <c r="W4" i="13"/>
  <c r="S4" i="13"/>
  <c r="O4" i="13"/>
  <c r="K4" i="13"/>
  <c r="G4" i="13"/>
  <c r="C5" i="13"/>
  <c r="V5" i="13"/>
  <c r="R5" i="13"/>
  <c r="N5" i="13"/>
  <c r="I5" i="13"/>
  <c r="J5" i="13"/>
  <c r="Y5" i="13"/>
  <c r="H6" i="13"/>
  <c r="D6" i="13"/>
  <c r="V6" i="13"/>
  <c r="V4" i="13"/>
  <c r="R4" i="13"/>
  <c r="N4" i="13"/>
  <c r="J4" i="13"/>
  <c r="F4" i="13"/>
  <c r="E5" i="13"/>
  <c r="U5" i="13"/>
  <c r="Q5" i="13"/>
  <c r="M5" i="13"/>
  <c r="H5" i="13"/>
  <c r="X5" i="13"/>
  <c r="B7" i="13"/>
  <c r="G6" i="13"/>
  <c r="G7" i="13" s="1"/>
  <c r="G8" i="13" s="1"/>
  <c r="G9" i="13" s="1"/>
  <c r="G10" i="13" s="1"/>
  <c r="G11" i="13" s="1"/>
  <c r="U4" i="13"/>
  <c r="Q4" i="13"/>
  <c r="M4" i="13"/>
  <c r="I4" i="13"/>
  <c r="E4" i="13"/>
  <c r="D5" i="13"/>
  <c r="T5" i="13"/>
  <c r="P5" i="13"/>
  <c r="L5" i="13"/>
  <c r="L7" i="13" s="1"/>
  <c r="L8" i="13" s="1"/>
  <c r="L9" i="13" s="1"/>
  <c r="L10" i="13" s="1"/>
  <c r="L11" i="13" s="1"/>
  <c r="C6" i="13"/>
  <c r="F6" i="13"/>
  <c r="K6" i="13"/>
  <c r="N6" i="13"/>
  <c r="W18" i="9"/>
  <c r="S23" i="9"/>
  <c r="S25" i="9"/>
  <c r="Z9" i="9"/>
  <c r="AA18" i="9"/>
  <c r="Y5" i="9"/>
  <c r="AA4" i="9"/>
  <c r="AA24" i="9"/>
  <c r="Y27" i="9"/>
  <c r="U6" i="9"/>
  <c r="U9" i="9"/>
  <c r="Y10" i="9"/>
  <c r="V10" i="9"/>
  <c r="W24" i="9"/>
  <c r="W26" i="9"/>
  <c r="Q5" i="9"/>
  <c r="U27" i="9"/>
  <c r="AA25" i="9"/>
  <c r="AA26" i="9"/>
  <c r="V27" i="9"/>
  <c r="Z27" i="9"/>
  <c r="R38" i="9"/>
  <c r="W25" i="9"/>
  <c r="AA23" i="9"/>
  <c r="W23" i="9"/>
  <c r="AA9" i="9"/>
  <c r="W4" i="9"/>
  <c r="S4" i="9"/>
  <c r="L18" i="9"/>
  <c r="Q27" i="9"/>
  <c r="Q6" i="9"/>
  <c r="R27" i="9"/>
  <c r="O29" i="11"/>
  <c r="L33" i="11"/>
  <c r="L32" i="11"/>
  <c r="L31" i="11"/>
  <c r="L30" i="11"/>
  <c r="L29" i="11"/>
  <c r="L27" i="11"/>
  <c r="K27" i="11"/>
  <c r="K25" i="11"/>
  <c r="L25" i="11" s="1"/>
  <c r="K26" i="11"/>
  <c r="L26" i="11"/>
  <c r="K24" i="11"/>
  <c r="L24" i="11" s="1"/>
  <c r="K21" i="11"/>
  <c r="L21" i="11" s="1"/>
  <c r="K20" i="11"/>
  <c r="L20" i="11" s="1"/>
  <c r="K19" i="11"/>
  <c r="L19" i="11" s="1"/>
  <c r="K18" i="11"/>
  <c r="L18" i="11" s="1"/>
  <c r="K17" i="11"/>
  <c r="L17" i="11" s="1"/>
  <c r="L14" i="11"/>
  <c r="K14" i="11"/>
  <c r="K13" i="11"/>
  <c r="L13" i="11" s="1"/>
  <c r="J13" i="11"/>
  <c r="L10" i="11"/>
  <c r="K10" i="11"/>
  <c r="L9" i="11"/>
  <c r="K9" i="11"/>
  <c r="K8" i="11"/>
  <c r="L8" i="11" s="1"/>
  <c r="L5" i="11"/>
  <c r="K5" i="11"/>
  <c r="K4" i="11"/>
  <c r="L4" i="11" s="1"/>
  <c r="K6" i="9"/>
  <c r="K31" i="9"/>
  <c r="K32" i="9"/>
  <c r="K33" i="9"/>
  <c r="K34" i="9"/>
  <c r="K30" i="9"/>
  <c r="K24" i="9"/>
  <c r="K25" i="9"/>
  <c r="K26" i="9"/>
  <c r="K23" i="9"/>
  <c r="K19" i="9"/>
  <c r="J17" i="9"/>
  <c r="J16" i="9"/>
  <c r="K12" i="9"/>
  <c r="K9" i="9"/>
  <c r="K10" i="9"/>
  <c r="K11" i="9"/>
  <c r="T7" i="13" l="1"/>
  <c r="E7" i="13"/>
  <c r="E8" i="13" s="1"/>
  <c r="E9" i="13" s="1"/>
  <c r="E10" i="13" s="1"/>
  <c r="E11" i="13" s="1"/>
  <c r="W6" i="13"/>
  <c r="D7" i="13"/>
  <c r="D8" i="13" s="1"/>
  <c r="D9" i="13" s="1"/>
  <c r="D10" i="13" s="1"/>
  <c r="D11" i="13" s="1"/>
  <c r="C7" i="13"/>
  <c r="C8" i="13" s="1"/>
  <c r="C9" i="13" s="1"/>
  <c r="C10" i="13" s="1"/>
  <c r="C11" i="13" s="1"/>
  <c r="H7" i="13"/>
  <c r="H8" i="13" s="1"/>
  <c r="H9" i="13" s="1"/>
  <c r="H10" i="13" s="1"/>
  <c r="H11" i="13" s="1"/>
  <c r="X6" i="13"/>
  <c r="X7" i="13" s="1"/>
  <c r="X8" i="13" s="1"/>
  <c r="X9" i="13" s="1"/>
  <c r="X10" i="13" s="1"/>
  <c r="X11" i="13" s="1"/>
  <c r="I7" i="13"/>
  <c r="I8" i="13" s="1"/>
  <c r="I9" i="13" s="1"/>
  <c r="I10" i="13" s="1"/>
  <c r="I11" i="13" s="1"/>
  <c r="U6" i="13"/>
  <c r="S6" i="13"/>
  <c r="S7" i="13" s="1"/>
  <c r="S8" i="13" s="1"/>
  <c r="S9" i="13" s="1"/>
  <c r="S10" i="13" s="1"/>
  <c r="S11" i="13" s="1"/>
  <c r="K7" i="13"/>
  <c r="Y6" i="13"/>
  <c r="Y7" i="13" s="1"/>
  <c r="Y8" i="13" s="1"/>
  <c r="Y9" i="13" s="1"/>
  <c r="Y10" i="13" s="1"/>
  <c r="Y11" i="13" s="1"/>
  <c r="R7" i="13"/>
  <c r="R8" i="13" s="1"/>
  <c r="R9" i="13" s="1"/>
  <c r="R10" i="13" s="1"/>
  <c r="R11" i="13" s="1"/>
  <c r="Q7" i="13"/>
  <c r="Q8" i="13" s="1"/>
  <c r="Q9" i="13" s="1"/>
  <c r="Q10" i="13" s="1"/>
  <c r="Q11" i="13" s="1"/>
  <c r="F7" i="13"/>
  <c r="F8" i="13" s="1"/>
  <c r="F9" i="13" s="1"/>
  <c r="F10" i="13" s="1"/>
  <c r="F11" i="13" s="1"/>
  <c r="W7" i="13"/>
  <c r="T8" i="13"/>
  <c r="T9" i="13" s="1"/>
  <c r="T10" i="13" s="1"/>
  <c r="T11" i="13" s="1"/>
  <c r="P7" i="13"/>
  <c r="P8" i="13" s="1"/>
  <c r="P9" i="13" s="1"/>
  <c r="P10" i="13" s="1"/>
  <c r="P11" i="13" s="1"/>
  <c r="N7" i="13"/>
  <c r="N8" i="13" s="1"/>
  <c r="V7" i="13"/>
  <c r="M7" i="13"/>
  <c r="M8" i="13" s="1"/>
  <c r="M9" i="13" s="1"/>
  <c r="M10" i="13" s="1"/>
  <c r="M11" i="13" s="1"/>
  <c r="U7" i="13"/>
  <c r="B8" i="13"/>
  <c r="B9" i="13" s="1"/>
  <c r="B10" i="13" s="1"/>
  <c r="B11" i="13" s="1"/>
  <c r="J7" i="13"/>
  <c r="J8" i="13" s="1"/>
  <c r="J9" i="13" s="1"/>
  <c r="J10" i="13" s="1"/>
  <c r="J11" i="13" s="1"/>
  <c r="O7" i="13"/>
  <c r="O8" i="13" s="1"/>
  <c r="O9" i="13" s="1"/>
  <c r="O10" i="13" s="1"/>
  <c r="O11" i="13" s="1"/>
  <c r="Y6" i="9"/>
  <c r="AA27" i="9"/>
  <c r="S27" i="9"/>
  <c r="W27" i="9"/>
  <c r="Y11" i="9"/>
  <c r="Y16" i="9"/>
  <c r="Q16" i="9"/>
  <c r="S16" i="9" s="1"/>
  <c r="U16" i="9"/>
  <c r="U34" i="9"/>
  <c r="Q34" i="9"/>
  <c r="Y34" i="9"/>
  <c r="W9" i="9"/>
  <c r="U12" i="9"/>
  <c r="Q12" i="9"/>
  <c r="Y12" i="9"/>
  <c r="Y30" i="9"/>
  <c r="Q30" i="9"/>
  <c r="U30" i="9"/>
  <c r="U17" i="9"/>
  <c r="W17" i="9" s="1"/>
  <c r="Q17" i="9"/>
  <c r="Y17" i="9"/>
  <c r="Y33" i="9"/>
  <c r="U33" i="9"/>
  <c r="Q33" i="9"/>
  <c r="W10" i="9"/>
  <c r="U31" i="9"/>
  <c r="Y31" i="9"/>
  <c r="Q31" i="9"/>
  <c r="U19" i="9"/>
  <c r="Y19" i="9"/>
  <c r="Q19" i="9"/>
  <c r="Q32" i="9"/>
  <c r="U32" i="9"/>
  <c r="Y32" i="9"/>
  <c r="AA10" i="9"/>
  <c r="K27" i="9"/>
  <c r="K17" i="9"/>
  <c r="K35" i="9"/>
  <c r="K13" i="9"/>
  <c r="K16" i="9"/>
  <c r="F34" i="9"/>
  <c r="U38" i="9" l="1"/>
  <c r="U40" i="9" s="1"/>
  <c r="Y38" i="9"/>
  <c r="N9" i="13"/>
  <c r="N10" i="13" s="1"/>
  <c r="N11" i="13" s="1"/>
  <c r="W8" i="13"/>
  <c r="W9" i="13" s="1"/>
  <c r="W10" i="13" s="1"/>
  <c r="W11" i="13" s="1"/>
  <c r="K8" i="13"/>
  <c r="K9" i="13" s="1"/>
  <c r="K10" i="13" s="1"/>
  <c r="K11" i="13" s="1"/>
  <c r="U8" i="13"/>
  <c r="U9" i="13" s="1"/>
  <c r="U10" i="13" s="1"/>
  <c r="U11" i="13" s="1"/>
  <c r="V8" i="13"/>
  <c r="V9" i="13" s="1"/>
  <c r="V10" i="13" s="1"/>
  <c r="V11" i="13" s="1"/>
  <c r="Q35" i="9"/>
  <c r="U13" i="9"/>
  <c r="Y13" i="9"/>
  <c r="Y35" i="9"/>
  <c r="W16" i="9"/>
  <c r="W38" i="9" s="1"/>
  <c r="U20" i="9"/>
  <c r="V34" i="9"/>
  <c r="W34" i="9" s="1"/>
  <c r="Z34" i="9"/>
  <c r="AA34" i="9" s="1"/>
  <c r="R34" i="9"/>
  <c r="U35" i="9"/>
  <c r="AA16" i="9"/>
  <c r="Y20" i="9"/>
  <c r="AA17" i="9"/>
  <c r="S17" i="9"/>
  <c r="S38" i="9" s="1"/>
  <c r="Q13" i="9"/>
  <c r="Q20" i="9"/>
  <c r="K20" i="9"/>
  <c r="L37" i="9" s="1"/>
  <c r="O37" i="9" s="1"/>
  <c r="L34" i="9"/>
  <c r="S34" i="9"/>
  <c r="F26" i="11"/>
  <c r="F25" i="11"/>
  <c r="F24" i="11"/>
  <c r="F20" i="11"/>
  <c r="F19" i="11"/>
  <c r="F18" i="11"/>
  <c r="F17" i="11"/>
  <c r="F13" i="11"/>
  <c r="F9" i="11"/>
  <c r="F8" i="11"/>
  <c r="F10" i="11" s="1"/>
  <c r="F4" i="11"/>
  <c r="AA38" i="9" l="1"/>
  <c r="Y41" i="9"/>
  <c r="Y49" i="9" s="1"/>
  <c r="U41" i="9"/>
  <c r="U49" i="9" s="1"/>
  <c r="Y40" i="9"/>
  <c r="Q41" i="9"/>
  <c r="Q49" i="9" s="1"/>
  <c r="Q40" i="9"/>
  <c r="F14" i="11"/>
  <c r="F21" i="11"/>
  <c r="F27" i="11"/>
  <c r="F5" i="11"/>
  <c r="F31" i="9"/>
  <c r="F32" i="9"/>
  <c r="F33" i="9"/>
  <c r="V31" i="9" l="1"/>
  <c r="W31" i="9" s="1"/>
  <c r="Z31" i="9"/>
  <c r="AA31" i="9" s="1"/>
  <c r="R31" i="9"/>
  <c r="V33" i="9"/>
  <c r="W33" i="9" s="1"/>
  <c r="R33" i="9"/>
  <c r="Z33" i="9"/>
  <c r="AA33" i="9" s="1"/>
  <c r="V32" i="9"/>
  <c r="W32" i="9" s="1"/>
  <c r="Z32" i="9"/>
  <c r="AA32" i="9" s="1"/>
  <c r="R32" i="9"/>
  <c r="L32" i="9"/>
  <c r="S32" i="9"/>
  <c r="L33" i="9"/>
  <c r="S33" i="9"/>
  <c r="L31" i="9"/>
  <c r="S31" i="9"/>
  <c r="F29" i="11"/>
  <c r="F30" i="11" s="1"/>
  <c r="F31" i="11" s="1"/>
  <c r="F34" i="11" s="1"/>
  <c r="F35" i="11" s="1"/>
  <c r="F30" i="9"/>
  <c r="F24" i="9"/>
  <c r="L24" i="9" s="1"/>
  <c r="F25" i="9"/>
  <c r="L25" i="9" s="1"/>
  <c r="F26" i="9"/>
  <c r="L26" i="9" s="1"/>
  <c r="F23" i="9"/>
  <c r="L23" i="9" s="1"/>
  <c r="F19" i="9"/>
  <c r="F17" i="9"/>
  <c r="L17" i="9" s="1"/>
  <c r="F16" i="9"/>
  <c r="L16" i="9" s="1"/>
  <c r="F12" i="9"/>
  <c r="F5" i="9"/>
  <c r="F11" i="9"/>
  <c r="F10" i="9"/>
  <c r="F9" i="9"/>
  <c r="F4" i="9"/>
  <c r="L4" i="9" s="1"/>
  <c r="L11" i="9" l="1"/>
  <c r="Z11" i="9"/>
  <c r="Z5" i="9"/>
  <c r="V5" i="9"/>
  <c r="R5" i="9"/>
  <c r="V19" i="9"/>
  <c r="R19" i="9"/>
  <c r="R20" i="9" s="1"/>
  <c r="S20" i="9" s="1"/>
  <c r="Z19" i="9"/>
  <c r="R12" i="9"/>
  <c r="S12" i="9" s="1"/>
  <c r="V12" i="9"/>
  <c r="W12" i="9" s="1"/>
  <c r="Z12" i="9"/>
  <c r="AA12" i="9" s="1"/>
  <c r="Z30" i="9"/>
  <c r="R30" i="9"/>
  <c r="S30" i="9" s="1"/>
  <c r="V30" i="9"/>
  <c r="R35" i="9"/>
  <c r="S35" i="9" s="1"/>
  <c r="L9" i="9"/>
  <c r="L10" i="9"/>
  <c r="S10" i="9"/>
  <c r="L12" i="9"/>
  <c r="L5" i="9"/>
  <c r="L6" i="9" s="1"/>
  <c r="L27" i="9"/>
  <c r="F35" i="9"/>
  <c r="L30" i="9"/>
  <c r="L35" i="9" s="1"/>
  <c r="F20" i="9"/>
  <c r="L19" i="9"/>
  <c r="L20" i="9" s="1"/>
  <c r="F13" i="9"/>
  <c r="F27" i="9"/>
  <c r="F6" i="9"/>
  <c r="Z40" i="9" l="1"/>
  <c r="Z6" i="9"/>
  <c r="AA5" i="9"/>
  <c r="S19" i="9"/>
  <c r="V35" i="9"/>
  <c r="W35" i="9" s="1"/>
  <c r="W30" i="9"/>
  <c r="W19" i="9"/>
  <c r="V20" i="9"/>
  <c r="W20" i="9" s="1"/>
  <c r="AA11" i="9"/>
  <c r="Z13" i="9"/>
  <c r="AA13" i="9" s="1"/>
  <c r="V13" i="9"/>
  <c r="W13" i="9" s="1"/>
  <c r="Z35" i="9"/>
  <c r="AA35" i="9" s="1"/>
  <c r="AA30" i="9"/>
  <c r="AA19" i="9"/>
  <c r="Z20" i="9"/>
  <c r="AA20" i="9" s="1"/>
  <c r="V40" i="9"/>
  <c r="V6" i="9"/>
  <c r="W5" i="9"/>
  <c r="S9" i="9"/>
  <c r="S39" i="9" s="1"/>
  <c r="R6" i="9"/>
  <c r="S5" i="9"/>
  <c r="S37" i="9" s="1"/>
  <c r="R13" i="9"/>
  <c r="S13" i="9" s="1"/>
  <c r="L13" i="9"/>
  <c r="F37" i="9"/>
  <c r="L38" i="9" s="1"/>
  <c r="L39" i="9" s="1"/>
  <c r="W40" i="9" l="1"/>
  <c r="AA40" i="9"/>
  <c r="V41" i="9"/>
  <c r="W43" i="9" s="1"/>
  <c r="V44" i="9" s="1"/>
  <c r="V45" i="9" s="1"/>
  <c r="W6" i="9"/>
  <c r="W41" i="9" s="1"/>
  <c r="AA6" i="9"/>
  <c r="AA41" i="9" s="1"/>
  <c r="Z41" i="9"/>
  <c r="R40" i="9"/>
  <c r="S6" i="9"/>
  <c r="S41" i="9" s="1"/>
  <c r="R41" i="9"/>
  <c r="S43" i="9" s="1"/>
  <c r="S40" i="9"/>
  <c r="F38" i="9"/>
  <c r="F39" i="9" s="1"/>
  <c r="AA42" i="9" l="1"/>
  <c r="W42" i="9"/>
  <c r="V48" i="9"/>
  <c r="W46" i="9"/>
  <c r="W47" i="9" s="1"/>
  <c r="AA43" i="9"/>
  <c r="Z44" i="9" s="1"/>
  <c r="Z45" i="9" s="1"/>
  <c r="L40" i="9"/>
  <c r="L41" i="9" s="1"/>
  <c r="R44" i="9"/>
  <c r="R45" i="9" s="1"/>
  <c r="S42" i="9"/>
  <c r="F42" i="9"/>
  <c r="F43" i="9" s="1"/>
  <c r="Z48" i="9" l="1"/>
  <c r="AA46" i="9"/>
  <c r="AA47" i="9" s="1"/>
  <c r="R48" i="9"/>
  <c r="S46" i="9"/>
  <c r="S47" i="9" s="1"/>
</calcChain>
</file>

<file path=xl/sharedStrings.xml><?xml version="1.0" encoding="utf-8"?>
<sst xmlns="http://schemas.openxmlformats.org/spreadsheetml/2006/main" count="309" uniqueCount="176">
  <si>
    <t>total expense</t>
  </si>
  <si>
    <t>No. of cars</t>
  </si>
  <si>
    <t>No. of days</t>
  </si>
  <si>
    <t>No. of rooms</t>
  </si>
  <si>
    <t>No. of nights</t>
  </si>
  <si>
    <t>remarks</t>
  </si>
  <si>
    <t>Rate</t>
  </si>
  <si>
    <t>Vehicles + driver</t>
  </si>
  <si>
    <t>Van (full day)</t>
  </si>
  <si>
    <t>Van (half-day)</t>
  </si>
  <si>
    <t>13-15 Jan</t>
  </si>
  <si>
    <t>Baggage pick-up truck</t>
  </si>
  <si>
    <t>13 &amp; 16 Jan morning</t>
  </si>
  <si>
    <t>Room total</t>
  </si>
  <si>
    <t>Vehicle total</t>
  </si>
  <si>
    <t>Rooms</t>
  </si>
  <si>
    <t>lodging (Doi Tung Lodge)</t>
  </si>
  <si>
    <t>Club 31 Room</t>
  </si>
  <si>
    <t>Meals</t>
  </si>
  <si>
    <t>Service pick-up truck</t>
  </si>
  <si>
    <t>special activities on 14 &amp; 15 Jan</t>
  </si>
  <si>
    <t>Set menu @350 THB</t>
  </si>
  <si>
    <t>No. of heads</t>
  </si>
  <si>
    <t>No. of meals</t>
  </si>
  <si>
    <t>13 &amp; 14 Jan's dinner + 15 Jan lunch</t>
  </si>
  <si>
    <t>Mealbox @250 THB</t>
  </si>
  <si>
    <t>14 Jan's luch + 15 Jan dinner</t>
  </si>
  <si>
    <t>Ice refill in Club 31 room</t>
  </si>
  <si>
    <t>Meals total</t>
  </si>
  <si>
    <t>Special Activities</t>
  </si>
  <si>
    <t>Entry tickets for 3 attractions</t>
  </si>
  <si>
    <t>Coffee cherry picking</t>
  </si>
  <si>
    <t>Handicraft making</t>
  </si>
  <si>
    <t>Coffee cupping</t>
  </si>
  <si>
    <t>Special activities total</t>
  </si>
  <si>
    <t>Staff &amp; resource persons</t>
  </si>
  <si>
    <t>Village head</t>
  </si>
  <si>
    <t>16 Jan morning DT-Airport</t>
  </si>
  <si>
    <t>Manager1</t>
  </si>
  <si>
    <t>Manager2</t>
  </si>
  <si>
    <t>Wipawa</t>
  </si>
  <si>
    <t>Sirivung</t>
  </si>
  <si>
    <t>Officers</t>
  </si>
  <si>
    <t>Travel expense-BKK manager</t>
  </si>
  <si>
    <t>Staff total</t>
  </si>
  <si>
    <t>Sub Total</t>
  </si>
  <si>
    <t>Management fees</t>
  </si>
  <si>
    <t>Grand Total</t>
  </si>
  <si>
    <t>Total heads</t>
  </si>
  <si>
    <t>Expense per head per trip</t>
  </si>
  <si>
    <t xml:space="preserve">room rate </t>
  </si>
  <si>
    <t>Price Calculation_Japan Coffee Amigos Trip to Doi Tung 13-16 Jan / 18-21 Jan 2016</t>
  </si>
  <si>
    <t xml:space="preserve">Royal Villa+MFL Garden + Hall of Inspiration </t>
  </si>
  <si>
    <t>19.00-22.00 hrs daily</t>
  </si>
  <si>
    <t>Date &amp; Time</t>
  </si>
  <si>
    <t>Programme</t>
  </si>
  <si>
    <t>Remark</t>
  </si>
  <si>
    <t>Wed 13 Jan 2016</t>
  </si>
  <si>
    <t>Place lunch order by phonecall (selected menu)</t>
  </si>
  <si>
    <t>Depart for Doi Tung Development Project</t>
  </si>
  <si>
    <t>Visit to the Doi Tung Royal Villa, Hall of Inspiration and Mae Fah Luang Garden</t>
  </si>
  <si>
    <t>Dinner at Sala Leelawadee</t>
  </si>
  <si>
    <t>Group gathering at Club 31 Room</t>
  </si>
  <si>
    <t>Thu 14 Jan 2016</t>
  </si>
  <si>
    <t>Breakfast at Sala Leelawadee</t>
  </si>
  <si>
    <t>Depart for Coffee Nursery and Coffee Processing Facilities</t>
  </si>
  <si>
    <t>Lunch Picnic at Coffee Nursery</t>
  </si>
  <si>
    <t>Depart for Lise Akha Ethnic Minority Village</t>
  </si>
  <si>
    <t>Back to DTDP, Free time</t>
  </si>
  <si>
    <t>Fri 15 Jan 2016</t>
  </si>
  <si>
    <t>Visit Thai-Myanmar Border</t>
  </si>
  <si>
    <t>Navuti Economic Forest and Macademia Nut Processing Facility</t>
  </si>
  <si>
    <t>Coffee Terrace Plantation, Navuti Site 1 : Learning basic concepts and steps in making a coffee farm</t>
  </si>
  <si>
    <t>Lunch at Krua Tamnak Restaurant</t>
  </si>
  <si>
    <t>Observe coffee purchasing activity at Pa Kluay Village</t>
  </si>
  <si>
    <t>Depart for Wetmill</t>
  </si>
  <si>
    <t>(Dinner box provided on the way to Wetmill)</t>
  </si>
  <si>
    <t>Wetmill : Cherry Pulping and Fermenting</t>
  </si>
  <si>
    <t>Back to Doi Tung Lodge, Group gathering at Club 31 Room</t>
  </si>
  <si>
    <t>Sat 16 Jan 2016</t>
  </si>
  <si>
    <t>Breakfast at Sala Leelawadee and check-out from Doi Tung Lodge</t>
  </si>
  <si>
    <t>Depart for Mae Fah Luang Chiang Rai Airport</t>
  </si>
  <si>
    <r>
      <t>Arrival in Chiang Rai Airport Flight (</t>
    </r>
    <r>
      <rPr>
        <sz val="16"/>
        <color rgb="FFFF0000"/>
        <rFont val="Cordia New"/>
        <family val="2"/>
      </rPr>
      <t>PG 232)</t>
    </r>
    <r>
      <rPr>
        <sz val="16"/>
        <rFont val="Cordia New"/>
        <family val="2"/>
      </rPr>
      <t xml:space="preserve"> departing Chiang Rai at</t>
    </r>
    <r>
      <rPr>
        <sz val="16"/>
        <color theme="1"/>
        <rFont val="Cordia New"/>
        <family val="2"/>
      </rPr>
      <t xml:space="preserve"> </t>
    </r>
    <r>
      <rPr>
        <sz val="16"/>
        <color rgb="FFFF0000"/>
        <rFont val="Cordia New"/>
        <family val="2"/>
      </rPr>
      <t>9.45 am</t>
    </r>
  </si>
  <si>
    <t>13-16 January 2016 And 18-21 January 2016</t>
  </si>
  <si>
    <r>
      <t>Arrival at Mae Fah Luang Chiang Rai Airport Flight</t>
    </r>
    <r>
      <rPr>
        <sz val="16"/>
        <color rgb="FFFF0000"/>
        <rFont val="Cordia New"/>
        <family val="2"/>
      </rPr>
      <t xml:space="preserve"> (PG231) </t>
    </r>
    <r>
      <rPr>
        <sz val="16"/>
        <color theme="1"/>
        <rFont val="Cordia New"/>
        <family val="2"/>
      </rPr>
      <t xml:space="preserve"> </t>
    </r>
  </si>
  <si>
    <t>Flight to be confirmed</t>
  </si>
  <si>
    <t>Coffee shops survey in Chiang Rai's downtown : Feeling the vibes of local coffee culture</t>
  </si>
  <si>
    <t>Lunch at Chivit Thammada Coffee House by the Kok River, Chiang Rai</t>
  </si>
  <si>
    <t>Check-in at Doi Tung Lodge</t>
  </si>
  <si>
    <t>Coffee Nursery : Learning the basics of coffee cultivars and seedling preparation : demonstrate and practice</t>
  </si>
  <si>
    <t>Coffee Drying Patio and Drymill : Learning the steps from coffee parchment to green bean</t>
  </si>
  <si>
    <t xml:space="preserve">Coffee Roasting and Packaging </t>
  </si>
  <si>
    <t>Doi Tung Cottage Industry Center and Outlet : Weaving, Pottery and Mulberry Paper Making</t>
  </si>
  <si>
    <t xml:space="preserve">Arrival at Lise Village : Meeting with Village Head and walking tour around the village to observe local way of life and coffee-related activities </t>
  </si>
  <si>
    <t>Coffee Harvesting Competition : Who picks the best cherries?</t>
  </si>
  <si>
    <t>Special Session : Coffee Cupping at the Roasting Facility : Exploring the tastes and aromas of Doi Tung's coffees</t>
  </si>
  <si>
    <t xml:space="preserve">DRAFT ITINERARY :   Japan Coffee Amigos Tour to Doi Tung Development Project, Thailand </t>
  </si>
  <si>
    <t>Price Calculation_Suntory Trainees Trip to Doi Tung 9-13 Nov 2015</t>
  </si>
  <si>
    <t>lodging (Doi Tung Lodge incl. breakfast)</t>
  </si>
  <si>
    <t>Set menu @250 THB</t>
  </si>
  <si>
    <t>Expense per head per trip per day (5 days)</t>
  </si>
  <si>
    <t xml:space="preserve">special activities </t>
  </si>
  <si>
    <t>Expense per head per trip per day (3 days)</t>
  </si>
  <si>
    <t xml:space="preserve">Chiraluck, 52 Rai, Soc Dev, Luang </t>
  </si>
  <si>
    <t xml:space="preserve">DRAFT ITINERARY :   Suntory's Trainees to Doi Tung Development Project, Thailand </t>
  </si>
  <si>
    <t>9-13 November 2015</t>
  </si>
  <si>
    <t>Mon 9 Nov 2015</t>
  </si>
  <si>
    <t>Lunch in Chiang Rai downtown</t>
  </si>
  <si>
    <t>Choice: group may follow Kawashima san to DTDP first and shift this programme to later date</t>
  </si>
  <si>
    <t>Place to be confirmed</t>
  </si>
  <si>
    <t xml:space="preserve">Lunch </t>
  </si>
  <si>
    <t>Tue 10 Nov 2015</t>
  </si>
  <si>
    <t>Wed 11 Nov 2015</t>
  </si>
  <si>
    <t>Coffee Harvesting Trial</t>
  </si>
  <si>
    <t>Back to Doi Tung Lodge</t>
  </si>
  <si>
    <t>Thu 12 Nov 2015</t>
  </si>
  <si>
    <t xml:space="preserve"> - follow Kawashima to learn from his consultancy to DTDP </t>
  </si>
  <si>
    <t xml:space="preserve"> - visit to other local coffee roasteries and coffeeshops </t>
  </si>
  <si>
    <t xml:space="preserve"> - visit Hall of Opium and Golden Triangle Area</t>
  </si>
  <si>
    <t xml:space="preserve">Programme to be agreed with trainees and Kawashima san </t>
  </si>
  <si>
    <t xml:space="preserve">(Choices include : </t>
  </si>
  <si>
    <t xml:space="preserve"> - visit Pang Mahan Reforestation Project to learn more on the corporate social responsibility's aspects)</t>
  </si>
  <si>
    <t>Lunch and dinner provided</t>
  </si>
  <si>
    <t>Fri 13 Nov 2015</t>
  </si>
  <si>
    <t>Depart for Chiang Rai Airport Flight PG236 leaving Chiang Rai 19.50 hrs</t>
  </si>
  <si>
    <t>Lunch provided</t>
  </si>
  <si>
    <t>Stop to buy drinks&amp;snacks at TOPS Supermarket, Central Plaza Chiang Rai</t>
  </si>
  <si>
    <t>Navuti Economic Forest (Coffee and macademia nut plantations)</t>
  </si>
  <si>
    <t xml:space="preserve">Visit Lise Akha Ethnic Minority Village : Meeting with Village Head and walking tour around the village to observe local way of life and coffee-related activities </t>
  </si>
  <si>
    <t>Forest trekking and observing Doi Tung's biodiversity</t>
  </si>
  <si>
    <t>Thai-Myanmar Border</t>
  </si>
  <si>
    <r>
      <t>Arrival at Mae Fah Luang Chiang Rai Airport, Flight</t>
    </r>
    <r>
      <rPr>
        <sz val="16"/>
        <color rgb="FFFF0000"/>
        <rFont val="Cordia New"/>
        <family val="2"/>
      </rPr>
      <t xml:space="preserve"> (PG231) </t>
    </r>
    <r>
      <rPr>
        <sz val="16"/>
        <color theme="1"/>
        <rFont val="Cordia New"/>
        <family val="2"/>
      </rPr>
      <t xml:space="preserve"> </t>
    </r>
  </si>
  <si>
    <t>Visit the Doi Tung Royal Villa, Hall of Inspiration and Mae Fah Luang Garden</t>
  </si>
  <si>
    <t>6 twin + 10 single Deluxe rooms</t>
  </si>
  <si>
    <t>Luang (14 Jan am), Soc Dev (14 Jan pm), Aj. Martin (14 Jan pm), Luang (15 Jan am), 52 Rai (15 Jan pm)</t>
  </si>
  <si>
    <t>Total number = 5 persons</t>
  </si>
  <si>
    <t>2 PAX/room, Deluxe type</t>
  </si>
  <si>
    <t>Lunch 9-13 Nov = 5 meals / Dinner 10-12 Nov = 3 meals</t>
  </si>
  <si>
    <t>Approx. Cost/head</t>
  </si>
  <si>
    <t>(Draft 3/9/2015)</t>
  </si>
  <si>
    <t>Cost per unit</t>
  </si>
  <si>
    <t>Total cost</t>
  </si>
  <si>
    <t>Margin</t>
  </si>
  <si>
    <t>Total margin before adding up management fee</t>
  </si>
  <si>
    <t>4wd?</t>
  </si>
  <si>
    <t xml:space="preserve">***cost per head = </t>
  </si>
  <si>
    <t>***cost per head =</t>
  </si>
  <si>
    <t>BBQ Dinner at Coffee Roasting Factory</t>
  </si>
  <si>
    <t>VC</t>
  </si>
  <si>
    <t>FC</t>
  </si>
  <si>
    <t>Conditions</t>
  </si>
  <si>
    <t>BBQ at coffee roasting factory</t>
  </si>
  <si>
    <t>Total FC</t>
  </si>
  <si>
    <t>Total VC</t>
  </si>
  <si>
    <t>Total special cost</t>
  </si>
  <si>
    <t>Cost</t>
  </si>
  <si>
    <t>Selling price</t>
  </si>
  <si>
    <t>Management fee</t>
  </si>
  <si>
    <t>Total selling price</t>
  </si>
  <si>
    <t>Total margin after adding up management fee</t>
  </si>
  <si>
    <t>***Selling price per head</t>
  </si>
  <si>
    <t>***Cost per head</t>
  </si>
  <si>
    <t>8 ppl/1 van * 3days</t>
  </si>
  <si>
    <t>8 ppl/1 van * 1day</t>
  </si>
  <si>
    <t>FC when more than 8 ppl* 2days</t>
  </si>
  <si>
    <t>Summary</t>
  </si>
  <si>
    <t>Management fee 5%</t>
  </si>
  <si>
    <t>Grand total</t>
  </si>
  <si>
    <t>Selling price for fixed items</t>
  </si>
  <si>
    <t>Selling price for variable items</t>
  </si>
  <si>
    <t>Selling price for group items</t>
  </si>
  <si>
    <t>No. of participant</t>
  </si>
  <si>
    <t>Van 1</t>
  </si>
  <si>
    <t>Van 2</t>
  </si>
  <si>
    <t>Van 3</t>
  </si>
  <si>
    <t>Selling price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</si>
</sst>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22"/>
      <scheme val="minor"/>
    </font>
    <font>
      <u/>
      <sz val="11"/>
      <color theme="1"/>
      <name val="Calibri"/>
      <family val="2"/>
      <charset val="222"/>
      <scheme val="minor"/>
    </font>
    <font>
      <b/>
      <u val="double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  <font>
      <sz val="16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b/>
      <u val="double"/>
      <sz val="12"/>
      <color theme="1"/>
      <name val="Calibri"/>
      <family val="2"/>
      <scheme val="minor"/>
    </font>
    <font>
      <sz val="9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1"/>
      <color rgb="FF0070C0"/>
      <name val="Calibri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4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" fillId="5" borderId="1" xfId="0" applyFont="1" applyFill="1" applyBorder="1"/>
    <xf numFmtId="0" fontId="4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9" fillId="0" borderId="0" xfId="0" applyFont="1"/>
    <xf numFmtId="0" fontId="8" fillId="3" borderId="1" xfId="0" applyFont="1" applyFill="1" applyBorder="1"/>
    <xf numFmtId="0" fontId="9" fillId="3" borderId="1" xfId="0" applyFont="1" applyFill="1" applyBorder="1"/>
    <xf numFmtId="20" fontId="10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20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20" fontId="9" fillId="0" borderId="1" xfId="0" applyNumberFormat="1" applyFont="1" applyBorder="1" applyAlignment="1">
      <alignment vertical="top" wrapText="1"/>
    </xf>
    <xf numFmtId="0" fontId="9" fillId="0" borderId="1" xfId="0" applyFont="1" applyBorder="1"/>
    <xf numFmtId="20" fontId="11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20" fontId="8" fillId="4" borderId="1" xfId="0" applyNumberFormat="1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4" borderId="1" xfId="0" applyFont="1" applyFill="1" applyBorder="1"/>
    <xf numFmtId="0" fontId="12" fillId="4" borderId="1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3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/>
    </xf>
    <xf numFmtId="20" fontId="9" fillId="0" borderId="1" xfId="0" applyNumberFormat="1" applyFont="1" applyBorder="1"/>
    <xf numFmtId="20" fontId="8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/>
    <xf numFmtId="20" fontId="8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quotePrefix="1" applyFont="1" applyBorder="1"/>
    <xf numFmtId="0" fontId="9" fillId="0" borderId="1" xfId="0" quotePrefix="1" applyFont="1" applyBorder="1" applyAlignment="1">
      <alignment wrapText="1"/>
    </xf>
    <xf numFmtId="0" fontId="15" fillId="5" borderId="5" xfId="0" applyFont="1" applyFill="1" applyBorder="1" applyAlignment="1">
      <alignment horizontal="center"/>
    </xf>
    <xf numFmtId="164" fontId="0" fillId="0" borderId="0" xfId="1" applyNumberFormat="1" applyFont="1"/>
    <xf numFmtId="164" fontId="0" fillId="0" borderId="6" xfId="1" applyNumberFormat="1" applyFont="1" applyBorder="1"/>
    <xf numFmtId="164" fontId="2" fillId="0" borderId="0" xfId="1" applyNumberFormat="1" applyFont="1" applyAlignment="1">
      <alignment horizontal="right"/>
    </xf>
    <xf numFmtId="9" fontId="2" fillId="0" borderId="0" xfId="2" applyFont="1"/>
    <xf numFmtId="164" fontId="2" fillId="0" borderId="0" xfId="0" applyNumberFormat="1" applyFont="1" applyBorder="1" applyAlignment="1">
      <alignment horizontal="center"/>
    </xf>
    <xf numFmtId="164" fontId="2" fillId="0" borderId="0" xfId="2" applyNumberFormat="1" applyFont="1" applyBorder="1"/>
    <xf numFmtId="9" fontId="2" fillId="0" borderId="0" xfId="2" applyNumberFormat="1" applyFont="1"/>
    <xf numFmtId="164" fontId="2" fillId="0" borderId="0" xfId="2" applyNumberFormat="1" applyFont="1"/>
    <xf numFmtId="0" fontId="0" fillId="0" borderId="6" xfId="0" applyBorder="1"/>
    <xf numFmtId="164" fontId="0" fillId="0" borderId="6" xfId="0" applyNumberFormat="1" applyBorder="1"/>
    <xf numFmtId="164" fontId="0" fillId="0" borderId="0" xfId="0" applyNumberFormat="1"/>
    <xf numFmtId="164" fontId="2" fillId="0" borderId="0" xfId="0" applyNumberFormat="1" applyFont="1"/>
    <xf numFmtId="20" fontId="9" fillId="4" borderId="1" xfId="0" applyNumberFormat="1" applyFont="1" applyFill="1" applyBorder="1" applyAlignment="1">
      <alignment vertical="top" wrapText="1"/>
    </xf>
    <xf numFmtId="164" fontId="0" fillId="0" borderId="0" xfId="1" applyNumberFormat="1" applyFont="1" applyBorder="1"/>
    <xf numFmtId="0" fontId="0" fillId="0" borderId="0" xfId="0" applyBorder="1"/>
    <xf numFmtId="164" fontId="0" fillId="0" borderId="0" xfId="0" applyNumberForma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0" xfId="0" applyFont="1"/>
    <xf numFmtId="164" fontId="17" fillId="0" borderId="0" xfId="1" applyNumberFormat="1" applyFont="1"/>
    <xf numFmtId="164" fontId="17" fillId="0" borderId="0" xfId="1" applyNumberFormat="1" applyFont="1" applyBorder="1"/>
    <xf numFmtId="164" fontId="17" fillId="0" borderId="0" xfId="0" applyNumberFormat="1" applyFont="1" applyBorder="1"/>
    <xf numFmtId="164" fontId="17" fillId="0" borderId="0" xfId="0" applyNumberFormat="1" applyFo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164" fontId="1" fillId="0" borderId="0" xfId="2" applyNumberFormat="1" applyFont="1" applyBorder="1"/>
    <xf numFmtId="0" fontId="2" fillId="0" borderId="0" xfId="0" applyFont="1"/>
    <xf numFmtId="164" fontId="1" fillId="0" borderId="0" xfId="2" applyNumberFormat="1" applyFont="1"/>
    <xf numFmtId="164" fontId="2" fillId="0" borderId="6" xfId="2" applyNumberFormat="1" applyFont="1" applyBorder="1"/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164" fontId="1" fillId="0" borderId="0" xfId="1" applyNumberFormat="1" applyFont="1"/>
    <xf numFmtId="9" fontId="0" fillId="4" borderId="0" xfId="0" applyNumberFormat="1" applyFill="1"/>
    <xf numFmtId="164" fontId="2" fillId="0" borderId="0" xfId="1" applyNumberFormat="1" applyFont="1"/>
    <xf numFmtId="0" fontId="2" fillId="0" borderId="0" xfId="0" applyFont="1" applyAlignment="1">
      <alignment horizontal="right"/>
    </xf>
    <xf numFmtId="164" fontId="18" fillId="0" borderId="0" xfId="0" applyNumberFormat="1" applyFont="1"/>
    <xf numFmtId="164" fontId="18" fillId="0" borderId="0" xfId="1" applyNumberFormat="1" applyFont="1"/>
    <xf numFmtId="0" fontId="18" fillId="0" borderId="0" xfId="0" applyFont="1"/>
    <xf numFmtId="164" fontId="3" fillId="0" borderId="0" xfId="0" applyNumberFormat="1" applyFont="1"/>
    <xf numFmtId="0" fontId="0" fillId="10" borderId="0" xfId="0" applyFill="1"/>
    <xf numFmtId="164" fontId="0" fillId="10" borderId="0" xfId="1" applyNumberFormat="1" applyFont="1" applyFill="1"/>
    <xf numFmtId="164" fontId="0" fillId="10" borderId="0" xfId="1" applyNumberFormat="1" applyFont="1" applyFill="1" applyAlignment="1">
      <alignment horizontal="right"/>
    </xf>
    <xf numFmtId="164" fontId="2" fillId="10" borderId="0" xfId="1" applyNumberFormat="1" applyFont="1" applyFill="1" applyAlignment="1">
      <alignment horizontal="right"/>
    </xf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5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164" fontId="0" fillId="10" borderId="14" xfId="1" applyNumberFormat="1" applyFont="1" applyFill="1" applyBorder="1"/>
    <xf numFmtId="164" fontId="0" fillId="10" borderId="15" xfId="1" applyNumberFormat="1" applyFont="1" applyFill="1" applyBorder="1"/>
    <xf numFmtId="164" fontId="0" fillId="10" borderId="4" xfId="1" applyNumberFormat="1" applyFont="1" applyFill="1" applyBorder="1"/>
    <xf numFmtId="164" fontId="0" fillId="9" borderId="15" xfId="1" applyNumberFormat="1" applyFont="1" applyFill="1" applyBorder="1"/>
    <xf numFmtId="164" fontId="0" fillId="9" borderId="4" xfId="1" applyNumberFormat="1" applyFont="1" applyFill="1" applyBorder="1"/>
    <xf numFmtId="164" fontId="0" fillId="8" borderId="15" xfId="1" applyNumberFormat="1" applyFont="1" applyFill="1" applyBorder="1"/>
    <xf numFmtId="164" fontId="0" fillId="8" borderId="4" xfId="1" applyNumberFormat="1" applyFont="1" applyFill="1" applyBorder="1"/>
    <xf numFmtId="164" fontId="0" fillId="0" borderId="3" xfId="1" applyNumberFormat="1" applyFont="1" applyBorder="1" applyAlignment="1">
      <alignment horizontal="right"/>
    </xf>
    <xf numFmtId="164" fontId="2" fillId="0" borderId="14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2" fillId="0" borderId="5" xfId="1" applyNumberFormat="1" applyFont="1" applyBorder="1"/>
    <xf numFmtId="164" fontId="2" fillId="0" borderId="0" xfId="1" applyNumberFormat="1" applyFont="1" applyBorder="1"/>
    <xf numFmtId="164" fontId="2" fillId="0" borderId="10" xfId="1" applyNumberFormat="1" applyFont="1" applyBorder="1"/>
    <xf numFmtId="164" fontId="2" fillId="0" borderId="14" xfId="1" applyNumberFormat="1" applyFont="1" applyBorder="1"/>
    <xf numFmtId="164" fontId="2" fillId="0" borderId="15" xfId="1" applyNumberFormat="1" applyFont="1" applyBorder="1"/>
    <xf numFmtId="164" fontId="2" fillId="0" borderId="4" xfId="1" applyNumberFormat="1" applyFont="1" applyBorder="1"/>
    <xf numFmtId="164" fontId="1" fillId="0" borderId="13" xfId="1" applyNumberFormat="1" applyFont="1" applyBorder="1" applyAlignment="1">
      <alignment horizontal="right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13" xfId="1" applyNumberFormat="1" applyFont="1" applyFill="1" applyBorder="1" applyAlignment="1">
      <alignment horizontal="right" vertical="center"/>
    </xf>
    <xf numFmtId="164" fontId="0" fillId="10" borderId="14" xfId="1" applyNumberFormat="1" applyFont="1" applyFill="1" applyBorder="1" applyAlignment="1">
      <alignment horizontal="center"/>
    </xf>
    <xf numFmtId="164" fontId="0" fillId="10" borderId="15" xfId="1" applyNumberFormat="1" applyFont="1" applyFill="1" applyBorder="1" applyAlignment="1">
      <alignment horizontal="center"/>
    </xf>
    <xf numFmtId="164" fontId="0" fillId="10" borderId="4" xfId="1" applyNumberFormat="1" applyFont="1" applyFill="1" applyBorder="1" applyAlignment="1">
      <alignment horizontal="center"/>
    </xf>
    <xf numFmtId="164" fontId="0" fillId="9" borderId="14" xfId="1" applyNumberFormat="1" applyFont="1" applyFill="1" applyBorder="1" applyAlignment="1">
      <alignment horizontal="center"/>
    </xf>
    <xf numFmtId="164" fontId="0" fillId="9" borderId="15" xfId="1" applyNumberFormat="1" applyFont="1" applyFill="1" applyBorder="1" applyAlignment="1">
      <alignment horizontal="center"/>
    </xf>
    <xf numFmtId="164" fontId="0" fillId="9" borderId="4" xfId="1" applyNumberFormat="1" applyFont="1" applyFill="1" applyBorder="1" applyAlignment="1">
      <alignment horizontal="center"/>
    </xf>
    <xf numFmtId="164" fontId="0" fillId="8" borderId="14" xfId="1" applyNumberFormat="1" applyFont="1" applyFill="1" applyBorder="1" applyAlignment="1">
      <alignment horizontal="center"/>
    </xf>
    <xf numFmtId="164" fontId="0" fillId="8" borderId="15" xfId="1" applyNumberFormat="1" applyFont="1" applyFill="1" applyBorder="1" applyAlignment="1">
      <alignment horizontal="center"/>
    </xf>
    <xf numFmtId="164" fontId="0" fillId="8" borderId="4" xfId="1" applyNumberFormat="1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showGridLines="0" tabSelected="1" workbookViewId="0">
      <selection activeCell="F16" sqref="F16"/>
    </sheetView>
  </sheetViews>
  <sheetFormatPr defaultRowHeight="15"/>
  <cols>
    <col min="1" max="1" width="30" style="61" bestFit="1" customWidth="1"/>
    <col min="2" max="3" width="8" style="61" bestFit="1" customWidth="1"/>
    <col min="4" max="25" width="9" style="61" bestFit="1" customWidth="1"/>
  </cols>
  <sheetData>
    <row r="1" spans="1:25">
      <c r="A1" s="96" t="s">
        <v>165</v>
      </c>
    </row>
    <row r="2" spans="1:25">
      <c r="A2" s="130" t="s">
        <v>171</v>
      </c>
      <c r="B2" s="132" t="s">
        <v>172</v>
      </c>
      <c r="C2" s="133"/>
      <c r="D2" s="133"/>
      <c r="E2" s="133"/>
      <c r="F2" s="133"/>
      <c r="G2" s="133"/>
      <c r="H2" s="133"/>
      <c r="I2" s="134"/>
      <c r="J2" s="135" t="s">
        <v>173</v>
      </c>
      <c r="K2" s="136"/>
      <c r="L2" s="136"/>
      <c r="M2" s="136"/>
      <c r="N2" s="136"/>
      <c r="O2" s="136"/>
      <c r="P2" s="136"/>
      <c r="Q2" s="137"/>
      <c r="R2" s="138" t="s">
        <v>174</v>
      </c>
      <c r="S2" s="139"/>
      <c r="T2" s="139"/>
      <c r="U2" s="139"/>
      <c r="V2" s="139"/>
      <c r="W2" s="139"/>
      <c r="X2" s="139"/>
      <c r="Y2" s="140"/>
    </row>
    <row r="3" spans="1:25">
      <c r="A3" s="131"/>
      <c r="B3" s="113">
        <v>1</v>
      </c>
      <c r="C3" s="114">
        <v>2</v>
      </c>
      <c r="D3" s="114">
        <v>3</v>
      </c>
      <c r="E3" s="114">
        <v>4</v>
      </c>
      <c r="F3" s="114">
        <v>5</v>
      </c>
      <c r="G3" s="114">
        <v>6</v>
      </c>
      <c r="H3" s="114">
        <v>7</v>
      </c>
      <c r="I3" s="115">
        <v>8</v>
      </c>
      <c r="J3" s="116">
        <v>9</v>
      </c>
      <c r="K3" s="116">
        <v>10</v>
      </c>
      <c r="L3" s="116">
        <v>11</v>
      </c>
      <c r="M3" s="116">
        <v>12</v>
      </c>
      <c r="N3" s="116">
        <v>13</v>
      </c>
      <c r="O3" s="116">
        <v>14</v>
      </c>
      <c r="P3" s="116">
        <v>15</v>
      </c>
      <c r="Q3" s="117">
        <v>16</v>
      </c>
      <c r="R3" s="118">
        <v>17</v>
      </c>
      <c r="S3" s="118">
        <v>18</v>
      </c>
      <c r="T3" s="118">
        <v>19</v>
      </c>
      <c r="U3" s="118">
        <v>20</v>
      </c>
      <c r="V3" s="118">
        <v>21</v>
      </c>
      <c r="W3" s="118">
        <v>22</v>
      </c>
      <c r="X3" s="118">
        <v>23</v>
      </c>
      <c r="Y3" s="119">
        <v>24</v>
      </c>
    </row>
    <row r="4" spans="1:25">
      <c r="A4" s="120" t="s">
        <v>168</v>
      </c>
      <c r="B4" s="109">
        <f>Expense_CoffeeAmigos2016!R37</f>
        <v>47850</v>
      </c>
      <c r="C4" s="74">
        <f>$B$4</f>
        <v>47850</v>
      </c>
      <c r="D4" s="74">
        <f t="shared" ref="D4:Y4" si="0">$B$4</f>
        <v>47850</v>
      </c>
      <c r="E4" s="74">
        <f t="shared" si="0"/>
        <v>47850</v>
      </c>
      <c r="F4" s="74">
        <f t="shared" si="0"/>
        <v>47850</v>
      </c>
      <c r="G4" s="74">
        <f t="shared" si="0"/>
        <v>47850</v>
      </c>
      <c r="H4" s="74">
        <f t="shared" si="0"/>
        <v>47850</v>
      </c>
      <c r="I4" s="110">
        <f t="shared" si="0"/>
        <v>47850</v>
      </c>
      <c r="J4" s="109">
        <f t="shared" si="0"/>
        <v>47850</v>
      </c>
      <c r="K4" s="74">
        <f t="shared" si="0"/>
        <v>47850</v>
      </c>
      <c r="L4" s="74">
        <f t="shared" si="0"/>
        <v>47850</v>
      </c>
      <c r="M4" s="74">
        <f t="shared" si="0"/>
        <v>47850</v>
      </c>
      <c r="N4" s="74">
        <f t="shared" si="0"/>
        <v>47850</v>
      </c>
      <c r="O4" s="74">
        <f t="shared" si="0"/>
        <v>47850</v>
      </c>
      <c r="P4" s="74">
        <f t="shared" si="0"/>
        <v>47850</v>
      </c>
      <c r="Q4" s="110">
        <f t="shared" si="0"/>
        <v>47850</v>
      </c>
      <c r="R4" s="109">
        <f t="shared" si="0"/>
        <v>47850</v>
      </c>
      <c r="S4" s="74">
        <f t="shared" si="0"/>
        <v>47850</v>
      </c>
      <c r="T4" s="74">
        <f t="shared" si="0"/>
        <v>47850</v>
      </c>
      <c r="U4" s="74">
        <f t="shared" si="0"/>
        <v>47850</v>
      </c>
      <c r="V4" s="74">
        <f t="shared" si="0"/>
        <v>47850</v>
      </c>
      <c r="W4" s="74">
        <f t="shared" si="0"/>
        <v>47850</v>
      </c>
      <c r="X4" s="74">
        <f t="shared" si="0"/>
        <v>47850</v>
      </c>
      <c r="Y4" s="110">
        <f t="shared" si="0"/>
        <v>47850</v>
      </c>
    </row>
    <row r="5" spans="1:25">
      <c r="A5" s="120" t="s">
        <v>169</v>
      </c>
      <c r="B5" s="109">
        <f>Expense_CoffeeAmigos2016!R38</f>
        <v>11270</v>
      </c>
      <c r="C5" s="74">
        <f>C3*$B5</f>
        <v>22540</v>
      </c>
      <c r="D5" s="74">
        <f>D3*$B5</f>
        <v>33810</v>
      </c>
      <c r="E5" s="74">
        <f t="shared" ref="E5:W5" si="1">E3*$B5</f>
        <v>45080</v>
      </c>
      <c r="F5" s="74">
        <f t="shared" si="1"/>
        <v>56350</v>
      </c>
      <c r="G5" s="74">
        <f t="shared" si="1"/>
        <v>67620</v>
      </c>
      <c r="H5" s="74">
        <f t="shared" si="1"/>
        <v>78890</v>
      </c>
      <c r="I5" s="110">
        <f t="shared" si="1"/>
        <v>90160</v>
      </c>
      <c r="J5" s="109">
        <f>J3*$B5</f>
        <v>101430</v>
      </c>
      <c r="K5" s="74">
        <f t="shared" si="1"/>
        <v>112700</v>
      </c>
      <c r="L5" s="74">
        <f t="shared" si="1"/>
        <v>123970</v>
      </c>
      <c r="M5" s="74">
        <f t="shared" si="1"/>
        <v>135240</v>
      </c>
      <c r="N5" s="74">
        <f t="shared" si="1"/>
        <v>146510</v>
      </c>
      <c r="O5" s="74">
        <f t="shared" si="1"/>
        <v>157780</v>
      </c>
      <c r="P5" s="74">
        <f t="shared" si="1"/>
        <v>169050</v>
      </c>
      <c r="Q5" s="110">
        <f t="shared" si="1"/>
        <v>180320</v>
      </c>
      <c r="R5" s="109">
        <f t="shared" si="1"/>
        <v>191590</v>
      </c>
      <c r="S5" s="74">
        <f t="shared" si="1"/>
        <v>202860</v>
      </c>
      <c r="T5" s="74">
        <f t="shared" si="1"/>
        <v>214130</v>
      </c>
      <c r="U5" s="74">
        <f t="shared" si="1"/>
        <v>225400</v>
      </c>
      <c r="V5" s="74">
        <f t="shared" si="1"/>
        <v>236670</v>
      </c>
      <c r="W5" s="74">
        <f t="shared" si="1"/>
        <v>247940</v>
      </c>
      <c r="X5" s="74">
        <f t="shared" ref="X5" si="2">X3*$B5</f>
        <v>259210</v>
      </c>
      <c r="Y5" s="110">
        <f>Y3*$B5</f>
        <v>270480</v>
      </c>
    </row>
    <row r="6" spans="1:25">
      <c r="A6" s="120" t="s">
        <v>170</v>
      </c>
      <c r="B6" s="109">
        <f>Expense_CoffeeAmigos2016!R39</f>
        <v>10200</v>
      </c>
      <c r="C6" s="74">
        <f>$B$6</f>
        <v>10200</v>
      </c>
      <c r="D6" s="74">
        <f t="shared" ref="D6:I6" si="3">$B$6</f>
        <v>10200</v>
      </c>
      <c r="E6" s="74">
        <f t="shared" si="3"/>
        <v>10200</v>
      </c>
      <c r="F6" s="74">
        <f t="shared" si="3"/>
        <v>10200</v>
      </c>
      <c r="G6" s="74">
        <f t="shared" si="3"/>
        <v>10200</v>
      </c>
      <c r="H6" s="74">
        <f t="shared" si="3"/>
        <v>10200</v>
      </c>
      <c r="I6" s="110">
        <f t="shared" si="3"/>
        <v>10200</v>
      </c>
      <c r="J6" s="109">
        <f>B6*2</f>
        <v>20400</v>
      </c>
      <c r="K6" s="74">
        <f>$J$6</f>
        <v>20400</v>
      </c>
      <c r="L6" s="74">
        <f t="shared" ref="L6:Q6" si="4">$J$6</f>
        <v>20400</v>
      </c>
      <c r="M6" s="74">
        <f t="shared" si="4"/>
        <v>20400</v>
      </c>
      <c r="N6" s="74">
        <f t="shared" si="4"/>
        <v>20400</v>
      </c>
      <c r="O6" s="74">
        <f t="shared" si="4"/>
        <v>20400</v>
      </c>
      <c r="P6" s="74">
        <f t="shared" si="4"/>
        <v>20400</v>
      </c>
      <c r="Q6" s="110">
        <f t="shared" si="4"/>
        <v>20400</v>
      </c>
      <c r="R6" s="109">
        <f>B6*3</f>
        <v>30600</v>
      </c>
      <c r="S6" s="74">
        <f>$R$6</f>
        <v>30600</v>
      </c>
      <c r="T6" s="74">
        <f t="shared" ref="T6:Y6" si="5">$R$6</f>
        <v>30600</v>
      </c>
      <c r="U6" s="74">
        <f t="shared" si="5"/>
        <v>30600</v>
      </c>
      <c r="V6" s="74">
        <f t="shared" si="5"/>
        <v>30600</v>
      </c>
      <c r="W6" s="74">
        <f t="shared" si="5"/>
        <v>30600</v>
      </c>
      <c r="X6" s="74">
        <f t="shared" si="5"/>
        <v>30600</v>
      </c>
      <c r="Y6" s="110">
        <f t="shared" si="5"/>
        <v>30600</v>
      </c>
    </row>
    <row r="7" spans="1:25">
      <c r="A7" s="129" t="s">
        <v>158</v>
      </c>
      <c r="B7" s="111">
        <f t="shared" ref="B7:Y7" si="6">SUM(B4:B6)</f>
        <v>69320</v>
      </c>
      <c r="C7" s="62">
        <f t="shared" si="6"/>
        <v>80590</v>
      </c>
      <c r="D7" s="62">
        <f t="shared" si="6"/>
        <v>91860</v>
      </c>
      <c r="E7" s="62">
        <f t="shared" si="6"/>
        <v>103130</v>
      </c>
      <c r="F7" s="62">
        <f t="shared" si="6"/>
        <v>114400</v>
      </c>
      <c r="G7" s="62">
        <f t="shared" si="6"/>
        <v>125670</v>
      </c>
      <c r="H7" s="62">
        <f t="shared" si="6"/>
        <v>136940</v>
      </c>
      <c r="I7" s="112">
        <f t="shared" si="6"/>
        <v>148210</v>
      </c>
      <c r="J7" s="111">
        <f t="shared" si="6"/>
        <v>169680</v>
      </c>
      <c r="K7" s="62">
        <f t="shared" si="6"/>
        <v>180950</v>
      </c>
      <c r="L7" s="62">
        <f t="shared" si="6"/>
        <v>192220</v>
      </c>
      <c r="M7" s="62">
        <f t="shared" si="6"/>
        <v>203490</v>
      </c>
      <c r="N7" s="62">
        <f t="shared" si="6"/>
        <v>214760</v>
      </c>
      <c r="O7" s="62">
        <f t="shared" si="6"/>
        <v>226030</v>
      </c>
      <c r="P7" s="62">
        <f t="shared" si="6"/>
        <v>237300</v>
      </c>
      <c r="Q7" s="112">
        <f t="shared" si="6"/>
        <v>248570</v>
      </c>
      <c r="R7" s="111">
        <f t="shared" si="6"/>
        <v>270040</v>
      </c>
      <c r="S7" s="62">
        <f t="shared" si="6"/>
        <v>281310</v>
      </c>
      <c r="T7" s="62">
        <f t="shared" si="6"/>
        <v>292580</v>
      </c>
      <c r="U7" s="62">
        <f t="shared" si="6"/>
        <v>303850</v>
      </c>
      <c r="V7" s="62">
        <f t="shared" si="6"/>
        <v>315120</v>
      </c>
      <c r="W7" s="62">
        <f t="shared" si="6"/>
        <v>326390</v>
      </c>
      <c r="X7" s="62">
        <f t="shared" si="6"/>
        <v>337660</v>
      </c>
      <c r="Y7" s="112">
        <f t="shared" si="6"/>
        <v>348930</v>
      </c>
    </row>
    <row r="8" spans="1:25">
      <c r="A8" s="129" t="s">
        <v>166</v>
      </c>
      <c r="B8" s="111">
        <f t="shared" ref="B8:Y8" si="7">B7*5%</f>
        <v>3466</v>
      </c>
      <c r="C8" s="62">
        <f t="shared" si="7"/>
        <v>4029.5</v>
      </c>
      <c r="D8" s="62">
        <f t="shared" si="7"/>
        <v>4593</v>
      </c>
      <c r="E8" s="62">
        <f t="shared" si="7"/>
        <v>5156.5</v>
      </c>
      <c r="F8" s="62">
        <f t="shared" si="7"/>
        <v>5720</v>
      </c>
      <c r="G8" s="62">
        <f t="shared" si="7"/>
        <v>6283.5</v>
      </c>
      <c r="H8" s="62">
        <f t="shared" si="7"/>
        <v>6847</v>
      </c>
      <c r="I8" s="112">
        <f t="shared" si="7"/>
        <v>7410.5</v>
      </c>
      <c r="J8" s="111">
        <f t="shared" si="7"/>
        <v>8484</v>
      </c>
      <c r="K8" s="62">
        <f t="shared" si="7"/>
        <v>9047.5</v>
      </c>
      <c r="L8" s="62">
        <f t="shared" si="7"/>
        <v>9611</v>
      </c>
      <c r="M8" s="62">
        <f t="shared" si="7"/>
        <v>10174.5</v>
      </c>
      <c r="N8" s="62">
        <f t="shared" si="7"/>
        <v>10738</v>
      </c>
      <c r="O8" s="62">
        <f t="shared" si="7"/>
        <v>11301.5</v>
      </c>
      <c r="P8" s="62">
        <f t="shared" si="7"/>
        <v>11865</v>
      </c>
      <c r="Q8" s="112">
        <f t="shared" si="7"/>
        <v>12428.5</v>
      </c>
      <c r="R8" s="111">
        <f t="shared" si="7"/>
        <v>13502</v>
      </c>
      <c r="S8" s="62">
        <f t="shared" si="7"/>
        <v>14065.5</v>
      </c>
      <c r="T8" s="62">
        <f t="shared" si="7"/>
        <v>14629</v>
      </c>
      <c r="U8" s="62">
        <f t="shared" si="7"/>
        <v>15192.5</v>
      </c>
      <c r="V8" s="62">
        <f t="shared" si="7"/>
        <v>15756</v>
      </c>
      <c r="W8" s="62">
        <f t="shared" si="7"/>
        <v>16319.5</v>
      </c>
      <c r="X8" s="62">
        <f t="shared" si="7"/>
        <v>16883</v>
      </c>
      <c r="Y8" s="112">
        <f t="shared" si="7"/>
        <v>17446.5</v>
      </c>
    </row>
    <row r="9" spans="1:25">
      <c r="A9" s="122"/>
      <c r="B9" s="106">
        <f t="shared" ref="B9:Y9" si="8">SUM(B7:B8)</f>
        <v>72786</v>
      </c>
      <c r="C9" s="74">
        <f t="shared" si="8"/>
        <v>84619.5</v>
      </c>
      <c r="D9" s="74">
        <f t="shared" si="8"/>
        <v>96453</v>
      </c>
      <c r="E9" s="74">
        <f t="shared" si="8"/>
        <v>108286.5</v>
      </c>
      <c r="F9" s="74">
        <f t="shared" si="8"/>
        <v>120120</v>
      </c>
      <c r="G9" s="74">
        <f t="shared" si="8"/>
        <v>131953.5</v>
      </c>
      <c r="H9" s="74">
        <f t="shared" si="8"/>
        <v>143787</v>
      </c>
      <c r="I9" s="74">
        <f t="shared" si="8"/>
        <v>155620.5</v>
      </c>
      <c r="J9" s="106">
        <f t="shared" si="8"/>
        <v>178164</v>
      </c>
      <c r="K9" s="107">
        <f t="shared" si="8"/>
        <v>189997.5</v>
      </c>
      <c r="L9" s="107">
        <f t="shared" si="8"/>
        <v>201831</v>
      </c>
      <c r="M9" s="107">
        <f t="shared" si="8"/>
        <v>213664.5</v>
      </c>
      <c r="N9" s="74">
        <f t="shared" si="8"/>
        <v>225498</v>
      </c>
      <c r="O9" s="74">
        <f t="shared" si="8"/>
        <v>237331.5</v>
      </c>
      <c r="P9" s="74">
        <f t="shared" si="8"/>
        <v>249165</v>
      </c>
      <c r="Q9" s="74">
        <f t="shared" si="8"/>
        <v>260998.5</v>
      </c>
      <c r="R9" s="106">
        <f t="shared" si="8"/>
        <v>283542</v>
      </c>
      <c r="S9" s="107">
        <f t="shared" si="8"/>
        <v>295375.5</v>
      </c>
      <c r="T9" s="107">
        <f t="shared" si="8"/>
        <v>307209</v>
      </c>
      <c r="U9" s="107">
        <f t="shared" si="8"/>
        <v>319042.5</v>
      </c>
      <c r="V9" s="107">
        <f t="shared" si="8"/>
        <v>330876</v>
      </c>
      <c r="W9" s="107">
        <f t="shared" si="8"/>
        <v>342709.5</v>
      </c>
      <c r="X9" s="107">
        <f t="shared" si="8"/>
        <v>354543</v>
      </c>
      <c r="Y9" s="108">
        <f t="shared" si="8"/>
        <v>366376.5</v>
      </c>
    </row>
    <row r="10" spans="1:25">
      <c r="A10" s="122" t="s">
        <v>167</v>
      </c>
      <c r="B10" s="123">
        <f>CEILING(B9,100)</f>
        <v>72800</v>
      </c>
      <c r="C10" s="124">
        <f t="shared" ref="C10:Y10" si="9">CEILING(C9,100)</f>
        <v>84700</v>
      </c>
      <c r="D10" s="124">
        <f t="shared" si="9"/>
        <v>96500</v>
      </c>
      <c r="E10" s="124">
        <f t="shared" si="9"/>
        <v>108300</v>
      </c>
      <c r="F10" s="124">
        <f t="shared" si="9"/>
        <v>120200</v>
      </c>
      <c r="G10" s="124">
        <f t="shared" si="9"/>
        <v>132000</v>
      </c>
      <c r="H10" s="124">
        <f t="shared" si="9"/>
        <v>143800</v>
      </c>
      <c r="I10" s="124">
        <f t="shared" si="9"/>
        <v>155700</v>
      </c>
      <c r="J10" s="123">
        <f t="shared" si="9"/>
        <v>178200</v>
      </c>
      <c r="K10" s="124">
        <f t="shared" si="9"/>
        <v>190000</v>
      </c>
      <c r="L10" s="124">
        <f t="shared" si="9"/>
        <v>201900</v>
      </c>
      <c r="M10" s="124">
        <f t="shared" si="9"/>
        <v>213700</v>
      </c>
      <c r="N10" s="124">
        <f t="shared" si="9"/>
        <v>225500</v>
      </c>
      <c r="O10" s="124">
        <f t="shared" si="9"/>
        <v>237400</v>
      </c>
      <c r="P10" s="124">
        <f t="shared" si="9"/>
        <v>249200</v>
      </c>
      <c r="Q10" s="124">
        <f t="shared" si="9"/>
        <v>261000</v>
      </c>
      <c r="R10" s="123">
        <f t="shared" si="9"/>
        <v>283600</v>
      </c>
      <c r="S10" s="124">
        <f t="shared" si="9"/>
        <v>295400</v>
      </c>
      <c r="T10" s="124">
        <f t="shared" si="9"/>
        <v>307300</v>
      </c>
      <c r="U10" s="124">
        <f t="shared" si="9"/>
        <v>319100</v>
      </c>
      <c r="V10" s="124">
        <f t="shared" si="9"/>
        <v>330900</v>
      </c>
      <c r="W10" s="124">
        <f t="shared" si="9"/>
        <v>342800</v>
      </c>
      <c r="X10" s="124">
        <f t="shared" si="9"/>
        <v>354600</v>
      </c>
      <c r="Y10" s="125">
        <f t="shared" si="9"/>
        <v>366400</v>
      </c>
    </row>
    <row r="11" spans="1:25">
      <c r="A11" s="121" t="s">
        <v>175</v>
      </c>
      <c r="B11" s="126">
        <f>B10/B3</f>
        <v>72800</v>
      </c>
      <c r="C11" s="127">
        <f t="shared" ref="C11:Y11" si="10">C10/C3</f>
        <v>42350</v>
      </c>
      <c r="D11" s="127">
        <f t="shared" si="10"/>
        <v>32166.666666666668</v>
      </c>
      <c r="E11" s="127">
        <f t="shared" si="10"/>
        <v>27075</v>
      </c>
      <c r="F11" s="127">
        <f t="shared" si="10"/>
        <v>24040</v>
      </c>
      <c r="G11" s="127">
        <f t="shared" si="10"/>
        <v>22000</v>
      </c>
      <c r="H11" s="127">
        <f t="shared" si="10"/>
        <v>20542.857142857141</v>
      </c>
      <c r="I11" s="127">
        <f t="shared" si="10"/>
        <v>19462.5</v>
      </c>
      <c r="J11" s="126">
        <f t="shared" si="10"/>
        <v>19800</v>
      </c>
      <c r="K11" s="127">
        <f t="shared" si="10"/>
        <v>19000</v>
      </c>
      <c r="L11" s="127">
        <f t="shared" si="10"/>
        <v>18354.545454545456</v>
      </c>
      <c r="M11" s="127">
        <f t="shared" si="10"/>
        <v>17808.333333333332</v>
      </c>
      <c r="N11" s="127">
        <f t="shared" si="10"/>
        <v>17346.153846153848</v>
      </c>
      <c r="O11" s="127">
        <f t="shared" si="10"/>
        <v>16957.142857142859</v>
      </c>
      <c r="P11" s="127">
        <f t="shared" si="10"/>
        <v>16613.333333333332</v>
      </c>
      <c r="Q11" s="127">
        <f t="shared" si="10"/>
        <v>16312.5</v>
      </c>
      <c r="R11" s="126">
        <f t="shared" si="10"/>
        <v>16682.352941176472</v>
      </c>
      <c r="S11" s="127">
        <f t="shared" si="10"/>
        <v>16411.111111111109</v>
      </c>
      <c r="T11" s="127">
        <f t="shared" si="10"/>
        <v>16173.684210526315</v>
      </c>
      <c r="U11" s="127">
        <f t="shared" si="10"/>
        <v>15955</v>
      </c>
      <c r="V11" s="127">
        <f t="shared" si="10"/>
        <v>15757.142857142857</v>
      </c>
      <c r="W11" s="127">
        <f t="shared" si="10"/>
        <v>15581.818181818182</v>
      </c>
      <c r="X11" s="127">
        <f t="shared" si="10"/>
        <v>15417.391304347826</v>
      </c>
      <c r="Y11" s="128">
        <f t="shared" si="10"/>
        <v>15266.666666666666</v>
      </c>
    </row>
  </sheetData>
  <mergeCells count="4">
    <mergeCell ref="A2:A3"/>
    <mergeCell ref="B2:I2"/>
    <mergeCell ref="J2:Q2"/>
    <mergeCell ref="R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46"/>
  <sheetViews>
    <sheetView topLeftCell="A19" workbookViewId="0">
      <selection activeCell="B52" sqref="B52"/>
    </sheetView>
  </sheetViews>
  <sheetFormatPr defaultRowHeight="24"/>
  <cols>
    <col min="1" max="1" width="12.42578125" style="23" customWidth="1"/>
    <col min="2" max="2" width="58.140625" style="23" customWidth="1"/>
    <col min="3" max="3" width="26.140625" style="23" customWidth="1"/>
    <col min="4" max="16384" width="9.140625" style="23"/>
  </cols>
  <sheetData>
    <row r="1" spans="1:3">
      <c r="A1" s="142" t="s">
        <v>96</v>
      </c>
      <c r="B1" s="142"/>
      <c r="C1" s="142"/>
    </row>
    <row r="2" spans="1:3">
      <c r="A2" s="142" t="s">
        <v>83</v>
      </c>
      <c r="B2" s="142"/>
      <c r="C2" s="142"/>
    </row>
    <row r="3" spans="1:3">
      <c r="A3" s="141" t="s">
        <v>139</v>
      </c>
      <c r="B3" s="141"/>
      <c r="C3" s="141"/>
    </row>
    <row r="4" spans="1:3">
      <c r="A4" s="45" t="s">
        <v>54</v>
      </c>
      <c r="B4" s="45" t="s">
        <v>55</v>
      </c>
      <c r="C4" s="45" t="s">
        <v>56</v>
      </c>
    </row>
    <row r="5" spans="1:3">
      <c r="A5" s="24" t="s">
        <v>57</v>
      </c>
      <c r="B5" s="25"/>
      <c r="C5" s="25"/>
    </row>
    <row r="6" spans="1:3">
      <c r="A6" s="26">
        <v>0.37152777777777773</v>
      </c>
      <c r="B6" s="27" t="s">
        <v>131</v>
      </c>
      <c r="C6" s="47" t="s">
        <v>85</v>
      </c>
    </row>
    <row r="7" spans="1:3" ht="65.25">
      <c r="A7" s="26">
        <v>0.3888888888888889</v>
      </c>
      <c r="B7" s="27" t="s">
        <v>86</v>
      </c>
      <c r="C7" s="48" t="s">
        <v>126</v>
      </c>
    </row>
    <row r="8" spans="1:3" ht="48">
      <c r="A8" s="28">
        <v>0.5</v>
      </c>
      <c r="B8" s="29" t="s">
        <v>87</v>
      </c>
      <c r="C8" s="48" t="s">
        <v>58</v>
      </c>
    </row>
    <row r="9" spans="1:3">
      <c r="A9" s="30">
        <v>0.54166666666666663</v>
      </c>
      <c r="B9" s="27" t="s">
        <v>59</v>
      </c>
      <c r="C9" s="31"/>
    </row>
    <row r="10" spans="1:3">
      <c r="A10" s="30">
        <v>0.60416666666666663</v>
      </c>
      <c r="B10" s="27" t="s">
        <v>88</v>
      </c>
      <c r="C10" s="31"/>
    </row>
    <row r="11" spans="1:3" ht="48">
      <c r="A11" s="32">
        <v>0.625</v>
      </c>
      <c r="B11" s="27" t="s">
        <v>132</v>
      </c>
      <c r="C11" s="33"/>
    </row>
    <row r="12" spans="1:3">
      <c r="A12" s="34">
        <v>0.75</v>
      </c>
      <c r="B12" s="35" t="s">
        <v>61</v>
      </c>
      <c r="C12" s="36"/>
    </row>
    <row r="13" spans="1:3" ht="25.5" customHeight="1">
      <c r="A13" s="30">
        <v>0.79166666666666663</v>
      </c>
      <c r="B13" s="27" t="s">
        <v>62</v>
      </c>
      <c r="C13" s="46"/>
    </row>
    <row r="14" spans="1:3">
      <c r="A14" s="30"/>
      <c r="B14" s="27"/>
      <c r="C14" s="31"/>
    </row>
    <row r="15" spans="1:3">
      <c r="A15" s="24" t="s">
        <v>63</v>
      </c>
      <c r="B15" s="37"/>
      <c r="C15" s="24"/>
    </row>
    <row r="16" spans="1:3">
      <c r="A16" s="34">
        <v>0.29166666666666669</v>
      </c>
      <c r="B16" s="35" t="s">
        <v>64</v>
      </c>
      <c r="C16" s="38"/>
    </row>
    <row r="17" spans="1:7" ht="48">
      <c r="A17" s="30">
        <v>0.36458333333333331</v>
      </c>
      <c r="B17" s="33" t="s">
        <v>127</v>
      </c>
      <c r="C17" s="44"/>
    </row>
    <row r="18" spans="1:7" ht="48">
      <c r="A18" s="30">
        <v>0.40625</v>
      </c>
      <c r="B18" s="43" t="s">
        <v>72</v>
      </c>
      <c r="C18" s="53"/>
    </row>
    <row r="19" spans="1:7">
      <c r="A19" s="30">
        <v>0.44791666666666702</v>
      </c>
      <c r="B19" s="27" t="s">
        <v>94</v>
      </c>
      <c r="C19" s="53"/>
    </row>
    <row r="20" spans="1:7">
      <c r="A20" s="34">
        <v>0.5</v>
      </c>
      <c r="B20" s="39" t="s">
        <v>73</v>
      </c>
      <c r="C20" s="40"/>
    </row>
    <row r="21" spans="1:7">
      <c r="A21" s="28">
        <v>0.5625</v>
      </c>
      <c r="B21" s="23" t="s">
        <v>130</v>
      </c>
      <c r="C21" s="53"/>
    </row>
    <row r="22" spans="1:7" ht="72">
      <c r="A22" s="28">
        <v>0.58333333333333337</v>
      </c>
      <c r="B22" s="27" t="s">
        <v>128</v>
      </c>
      <c r="C22" s="53"/>
    </row>
    <row r="23" spans="1:7">
      <c r="A23" s="28">
        <v>0.63541666666666663</v>
      </c>
      <c r="B23" s="27" t="s">
        <v>129</v>
      </c>
      <c r="C23" s="53"/>
    </row>
    <row r="24" spans="1:7">
      <c r="A24" s="28">
        <v>0.69791666666666663</v>
      </c>
      <c r="B24" s="27" t="s">
        <v>74</v>
      </c>
      <c r="C24" s="53"/>
    </row>
    <row r="25" spans="1:7">
      <c r="A25" s="30">
        <v>0.72916666666666663</v>
      </c>
      <c r="B25" s="27" t="s">
        <v>75</v>
      </c>
      <c r="C25" s="31"/>
    </row>
    <row r="26" spans="1:7">
      <c r="A26" s="73">
        <v>0.75</v>
      </c>
      <c r="B26" s="41" t="s">
        <v>147</v>
      </c>
      <c r="C26" s="38"/>
      <c r="E26" s="54"/>
      <c r="F26" s="55"/>
      <c r="G26" s="56"/>
    </row>
    <row r="27" spans="1:7">
      <c r="A27" s="30">
        <v>0.79166666666666663</v>
      </c>
      <c r="B27" s="27" t="s">
        <v>77</v>
      </c>
      <c r="C27" s="31"/>
      <c r="E27" s="54"/>
      <c r="F27" s="55"/>
      <c r="G27" s="56"/>
    </row>
    <row r="28" spans="1:7">
      <c r="A28" s="30">
        <v>0.83333333333333337</v>
      </c>
      <c r="B28" s="27" t="s">
        <v>78</v>
      </c>
      <c r="C28" s="31"/>
      <c r="E28" s="54"/>
      <c r="F28" s="55"/>
      <c r="G28" s="56"/>
    </row>
    <row r="29" spans="1:7">
      <c r="A29" s="51"/>
      <c r="B29" s="52"/>
      <c r="C29" s="53"/>
      <c r="E29" s="54"/>
      <c r="F29" s="55"/>
      <c r="G29" s="56"/>
    </row>
    <row r="30" spans="1:7">
      <c r="A30" s="24" t="s">
        <v>69</v>
      </c>
      <c r="B30" s="37"/>
      <c r="C30" s="24"/>
      <c r="E30" s="54"/>
      <c r="F30" s="55"/>
      <c r="G30" s="56"/>
    </row>
    <row r="31" spans="1:7">
      <c r="A31" s="34">
        <v>0.29166666666666669</v>
      </c>
      <c r="B31" s="35" t="s">
        <v>64</v>
      </c>
      <c r="C31" s="38"/>
      <c r="E31" s="54"/>
      <c r="F31" s="55"/>
      <c r="G31" s="56"/>
    </row>
    <row r="32" spans="1:7">
      <c r="A32" s="30">
        <v>0.35416666666666669</v>
      </c>
      <c r="B32" s="27" t="s">
        <v>65</v>
      </c>
      <c r="C32" s="31"/>
    </row>
    <row r="33" spans="1:3" ht="48">
      <c r="A33" s="30">
        <v>0.375</v>
      </c>
      <c r="B33" s="27" t="s">
        <v>89</v>
      </c>
      <c r="C33" s="33"/>
    </row>
    <row r="34" spans="1:3" ht="48">
      <c r="A34" s="30">
        <v>0.41666666666666669</v>
      </c>
      <c r="B34" s="27" t="s">
        <v>90</v>
      </c>
      <c r="C34" s="33"/>
    </row>
    <row r="35" spans="1:3">
      <c r="A35" s="30">
        <v>0.45833333333333331</v>
      </c>
      <c r="B35" s="27" t="s">
        <v>91</v>
      </c>
      <c r="C35" s="33"/>
    </row>
    <row r="36" spans="1:3">
      <c r="A36" s="34">
        <v>0.5</v>
      </c>
      <c r="B36" s="39" t="s">
        <v>66</v>
      </c>
      <c r="C36" s="40"/>
    </row>
    <row r="37" spans="1:3" ht="48">
      <c r="A37" s="30">
        <v>0.54166666666666663</v>
      </c>
      <c r="B37" s="27" t="s">
        <v>95</v>
      </c>
      <c r="C37" s="27"/>
    </row>
    <row r="38" spans="1:3" ht="48">
      <c r="A38" s="30">
        <v>0.625</v>
      </c>
      <c r="B38" s="27" t="s">
        <v>92</v>
      </c>
      <c r="C38" s="31"/>
    </row>
    <row r="39" spans="1:3">
      <c r="A39" s="30">
        <v>0.6875</v>
      </c>
      <c r="B39" s="27" t="s">
        <v>68</v>
      </c>
      <c r="C39" s="31"/>
    </row>
    <row r="40" spans="1:3">
      <c r="A40" s="34">
        <v>0.75</v>
      </c>
      <c r="B40" s="35" t="s">
        <v>61</v>
      </c>
      <c r="C40" s="41"/>
    </row>
    <row r="41" spans="1:3">
      <c r="A41" s="30">
        <v>0.79166666666666663</v>
      </c>
      <c r="B41" s="27" t="s">
        <v>62</v>
      </c>
      <c r="C41" s="42"/>
    </row>
    <row r="42" spans="1:3">
      <c r="A42" s="30"/>
      <c r="B42" s="27"/>
      <c r="C42" s="31"/>
    </row>
    <row r="43" spans="1:3">
      <c r="A43" s="24" t="s">
        <v>79</v>
      </c>
      <c r="B43" s="37"/>
      <c r="C43" s="24"/>
    </row>
    <row r="44" spans="1:3" ht="46.5">
      <c r="A44" s="34">
        <v>0.29166666666666669</v>
      </c>
      <c r="B44" s="35" t="s">
        <v>80</v>
      </c>
      <c r="C44" s="38"/>
    </row>
    <row r="45" spans="1:3">
      <c r="A45" s="30">
        <v>0.3125</v>
      </c>
      <c r="B45" s="27" t="s">
        <v>81</v>
      </c>
      <c r="C45" s="31"/>
    </row>
    <row r="46" spans="1:3" ht="48">
      <c r="A46" s="26">
        <v>0.35416666666666669</v>
      </c>
      <c r="B46" s="33" t="s">
        <v>82</v>
      </c>
      <c r="C46" s="31"/>
    </row>
  </sheetData>
  <mergeCells count="3">
    <mergeCell ref="A3:C3"/>
    <mergeCell ref="A1:C1"/>
    <mergeCell ref="A2:C2"/>
  </mergeCells>
  <printOptions horizontalCentered="1"/>
  <pageMargins left="0.2" right="0.2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A54"/>
  <sheetViews>
    <sheetView showGridLines="0" topLeftCell="J34" zoomScale="80" zoomScaleNormal="80" workbookViewId="0">
      <selection activeCell="S52" sqref="S52"/>
    </sheetView>
  </sheetViews>
  <sheetFormatPr defaultRowHeight="15"/>
  <cols>
    <col min="1" max="1" width="5.42578125" style="4" customWidth="1"/>
    <col min="2" max="2" width="41.7109375" customWidth="1"/>
    <col min="3" max="3" width="14.7109375" style="4" customWidth="1"/>
    <col min="4" max="4" width="15.7109375" style="4" customWidth="1"/>
    <col min="5" max="5" width="11.5703125" style="4" customWidth="1"/>
    <col min="6" max="6" width="14.85546875" style="4" bestFit="1" customWidth="1"/>
    <col min="7" max="7" width="40" customWidth="1"/>
    <col min="8" max="9" width="9.140625" hidden="1" customWidth="1"/>
    <col min="10" max="10" width="21.42578125" style="61" customWidth="1"/>
    <col min="11" max="12" width="11.140625" style="61" customWidth="1"/>
    <col min="13" max="13" width="9.140625" customWidth="1"/>
    <col min="14" max="14" width="16.28515625" style="61" customWidth="1"/>
    <col min="15" max="15" width="10" customWidth="1"/>
    <col min="16" max="16" width="8.85546875" customWidth="1"/>
    <col min="17" max="17" width="8.5703125" style="61" bestFit="1" customWidth="1"/>
    <col min="18" max="18" width="15" style="61" bestFit="1" customWidth="1"/>
    <col min="19" max="19" width="9.42578125" style="61" bestFit="1" customWidth="1"/>
    <col min="21" max="21" width="9.5703125" style="61" bestFit="1" customWidth="1"/>
    <col min="22" max="22" width="15" style="61" bestFit="1" customWidth="1"/>
    <col min="23" max="23" width="9.42578125" style="61" bestFit="1" customWidth="1"/>
    <col min="25" max="25" width="9.5703125" style="61" bestFit="1" customWidth="1"/>
    <col min="26" max="26" width="15" style="61" bestFit="1" customWidth="1"/>
    <col min="27" max="27" width="9.42578125" style="61" bestFit="1" customWidth="1"/>
  </cols>
  <sheetData>
    <row r="1" spans="1:27" ht="15.75">
      <c r="A1" s="143" t="s">
        <v>51</v>
      </c>
      <c r="B1" s="143"/>
      <c r="C1" s="143"/>
      <c r="D1" s="143"/>
      <c r="E1" s="143"/>
      <c r="F1" s="143"/>
      <c r="G1" s="143"/>
    </row>
    <row r="2" spans="1:27">
      <c r="N2" s="74"/>
      <c r="O2" s="75"/>
      <c r="Q2" s="61" t="s">
        <v>155</v>
      </c>
      <c r="R2" s="61" t="s">
        <v>156</v>
      </c>
      <c r="S2" s="61" t="s">
        <v>142</v>
      </c>
      <c r="U2" s="61" t="s">
        <v>155</v>
      </c>
      <c r="V2" s="61" t="s">
        <v>156</v>
      </c>
      <c r="W2" s="61" t="s">
        <v>142</v>
      </c>
      <c r="Y2" s="61" t="s">
        <v>155</v>
      </c>
      <c r="Z2" s="61" t="s">
        <v>156</v>
      </c>
      <c r="AA2" s="61" t="s">
        <v>142</v>
      </c>
    </row>
    <row r="3" spans="1:27">
      <c r="A3" s="7">
        <v>1</v>
      </c>
      <c r="B3" s="16" t="s">
        <v>15</v>
      </c>
      <c r="C3" s="7" t="s">
        <v>3</v>
      </c>
      <c r="D3" s="7" t="s">
        <v>4</v>
      </c>
      <c r="E3" s="9" t="s">
        <v>50</v>
      </c>
      <c r="F3" s="7" t="s">
        <v>0</v>
      </c>
      <c r="G3" s="7" t="s">
        <v>5</v>
      </c>
      <c r="J3" s="61" t="s">
        <v>140</v>
      </c>
      <c r="K3" s="61" t="s">
        <v>141</v>
      </c>
      <c r="L3" s="61" t="s">
        <v>142</v>
      </c>
      <c r="N3" s="74"/>
      <c r="O3" s="75"/>
      <c r="P3" t="s">
        <v>150</v>
      </c>
      <c r="Q3" s="61">
        <v>1</v>
      </c>
      <c r="U3" s="61">
        <v>15</v>
      </c>
      <c r="Y3" s="61">
        <v>17</v>
      </c>
    </row>
    <row r="4" spans="1:27">
      <c r="A4" s="5">
        <v>1.1000000000000001</v>
      </c>
      <c r="B4" s="1" t="s">
        <v>16</v>
      </c>
      <c r="C4" s="5">
        <v>16</v>
      </c>
      <c r="D4" s="5">
        <v>3</v>
      </c>
      <c r="E4" s="5">
        <v>2800</v>
      </c>
      <c r="F4" s="5">
        <f>C4*D4*E4</f>
        <v>134400</v>
      </c>
      <c r="G4" s="5" t="s">
        <v>133</v>
      </c>
      <c r="J4" s="61">
        <v>1100</v>
      </c>
      <c r="K4" s="61">
        <f>C4*D4*J4</f>
        <v>52800</v>
      </c>
      <c r="L4" s="61">
        <f>F4-K4</f>
        <v>81600</v>
      </c>
      <c r="N4" s="74"/>
      <c r="O4" s="76"/>
      <c r="P4" s="71" t="s">
        <v>148</v>
      </c>
      <c r="Q4" s="61">
        <f>$J4*$Q$3*3</f>
        <v>3300</v>
      </c>
      <c r="R4" s="61">
        <f>$E4*$Q$3*3</f>
        <v>8400</v>
      </c>
      <c r="S4" s="61">
        <f>R4-Q4</f>
        <v>5100</v>
      </c>
      <c r="U4" s="61">
        <f>$J4*$U$3*3</f>
        <v>49500</v>
      </c>
      <c r="V4" s="61">
        <f>$E4*$U$3*3</f>
        <v>126000</v>
      </c>
      <c r="W4" s="61">
        <f>V4-U4</f>
        <v>76500</v>
      </c>
      <c r="Y4" s="61">
        <f>$J4*Y3*3</f>
        <v>56100</v>
      </c>
      <c r="Z4" s="61">
        <f>$E4*Y3*3</f>
        <v>142800</v>
      </c>
      <c r="AA4" s="61">
        <f>Z4-Y4</f>
        <v>86700</v>
      </c>
    </row>
    <row r="5" spans="1:27">
      <c r="A5" s="5">
        <v>1.2</v>
      </c>
      <c r="B5" s="1" t="s">
        <v>17</v>
      </c>
      <c r="C5" s="5">
        <v>1</v>
      </c>
      <c r="D5" s="5">
        <v>3</v>
      </c>
      <c r="E5" s="5">
        <v>4000</v>
      </c>
      <c r="F5" s="5">
        <f>C5*D5*E5</f>
        <v>12000</v>
      </c>
      <c r="G5" s="5" t="s">
        <v>53</v>
      </c>
      <c r="J5" s="61">
        <v>1000</v>
      </c>
      <c r="K5" s="61">
        <f>C5*D5*J5</f>
        <v>3000</v>
      </c>
      <c r="L5" s="61">
        <f>F5-K5</f>
        <v>9000</v>
      </c>
      <c r="N5" s="74"/>
      <c r="O5" s="76"/>
      <c r="P5" s="71" t="s">
        <v>149</v>
      </c>
      <c r="Q5" s="61">
        <f>$K5</f>
        <v>3000</v>
      </c>
      <c r="R5" s="61">
        <f>$F5</f>
        <v>12000</v>
      </c>
      <c r="S5" s="61">
        <f t="shared" ref="S5:S35" si="0">R5-Q5</f>
        <v>9000</v>
      </c>
      <c r="U5" s="61">
        <f>$K5</f>
        <v>3000</v>
      </c>
      <c r="V5" s="61">
        <f>$F5</f>
        <v>12000</v>
      </c>
      <c r="W5" s="61">
        <f t="shared" ref="W5:W35" si="1">V5-U5</f>
        <v>9000</v>
      </c>
      <c r="Y5" s="61">
        <f>$K5</f>
        <v>3000</v>
      </c>
      <c r="Z5" s="61">
        <f>$F5</f>
        <v>12000</v>
      </c>
      <c r="AA5" s="61">
        <f t="shared" ref="AA5:AA35" si="2">Z5-Y5</f>
        <v>9000</v>
      </c>
    </row>
    <row r="6" spans="1:27">
      <c r="A6" s="10"/>
      <c r="B6" s="3" t="s">
        <v>13</v>
      </c>
      <c r="C6" s="10"/>
      <c r="D6" s="10"/>
      <c r="E6" s="10"/>
      <c r="F6" s="17">
        <f>SUM(F4:F5)</f>
        <v>146400</v>
      </c>
      <c r="G6" s="11"/>
      <c r="K6" s="62">
        <f>SUM(K4:K5)</f>
        <v>55800</v>
      </c>
      <c r="L6" s="62">
        <f>SUM(L4:L5)</f>
        <v>90600</v>
      </c>
      <c r="N6" s="74"/>
      <c r="O6" s="76"/>
      <c r="P6" s="71"/>
      <c r="Q6" s="62">
        <f>SUM(Q4:Q5)</f>
        <v>6300</v>
      </c>
      <c r="R6" s="62">
        <f>SUM(R4:R5)</f>
        <v>20400</v>
      </c>
      <c r="S6" s="62">
        <f t="shared" si="0"/>
        <v>14100</v>
      </c>
      <c r="U6" s="62">
        <f>SUM(U4:U5)</f>
        <v>52500</v>
      </c>
      <c r="V6" s="62">
        <f>SUM(V4:V5)</f>
        <v>138000</v>
      </c>
      <c r="W6" s="62">
        <f t="shared" si="1"/>
        <v>85500</v>
      </c>
      <c r="Y6" s="62">
        <f>SUM(Y4:Y5)</f>
        <v>59100</v>
      </c>
      <c r="Z6" s="62">
        <f>SUM(Z4:Z5)</f>
        <v>154800</v>
      </c>
      <c r="AA6" s="62">
        <f t="shared" si="2"/>
        <v>95700</v>
      </c>
    </row>
    <row r="7" spans="1:27">
      <c r="A7" s="5"/>
      <c r="B7" s="1"/>
      <c r="C7" s="5"/>
      <c r="D7" s="5"/>
      <c r="E7" s="5"/>
      <c r="F7" s="5"/>
      <c r="G7" s="1"/>
      <c r="N7" s="74"/>
      <c r="O7" s="76"/>
      <c r="P7" s="71"/>
      <c r="S7" s="61">
        <f t="shared" si="0"/>
        <v>0</v>
      </c>
      <c r="W7" s="61">
        <f t="shared" si="1"/>
        <v>0</v>
      </c>
      <c r="AA7" s="61">
        <f t="shared" si="2"/>
        <v>0</v>
      </c>
    </row>
    <row r="8" spans="1:27">
      <c r="A8" s="7">
        <v>2</v>
      </c>
      <c r="B8" s="16" t="s">
        <v>7</v>
      </c>
      <c r="C8" s="7" t="s">
        <v>1</v>
      </c>
      <c r="D8" s="7" t="s">
        <v>2</v>
      </c>
      <c r="E8" s="7" t="s">
        <v>6</v>
      </c>
      <c r="F8" s="7" t="s">
        <v>0</v>
      </c>
      <c r="G8" s="8"/>
      <c r="N8" s="74"/>
      <c r="O8" s="76"/>
      <c r="P8" s="71"/>
      <c r="S8" s="61">
        <f t="shared" si="0"/>
        <v>0</v>
      </c>
      <c r="W8" s="61">
        <f t="shared" si="1"/>
        <v>0</v>
      </c>
      <c r="AA8" s="61">
        <f t="shared" si="2"/>
        <v>0</v>
      </c>
    </row>
    <row r="9" spans="1:27">
      <c r="A9" s="5">
        <v>2.1</v>
      </c>
      <c r="B9" s="1" t="s">
        <v>8</v>
      </c>
      <c r="C9" s="5">
        <v>3</v>
      </c>
      <c r="D9" s="5">
        <v>3</v>
      </c>
      <c r="E9" s="5">
        <v>2800</v>
      </c>
      <c r="F9" s="5">
        <f>C9*D9*E9</f>
        <v>25200</v>
      </c>
      <c r="G9" s="1" t="s">
        <v>10</v>
      </c>
      <c r="J9" s="61">
        <v>2664</v>
      </c>
      <c r="K9" s="61">
        <f t="shared" ref="K9:K11" si="3">C9*D9*J9</f>
        <v>23976</v>
      </c>
      <c r="L9" s="61">
        <f t="shared" ref="L9:L11" si="4">F9-K9</f>
        <v>1224</v>
      </c>
      <c r="N9" s="74"/>
      <c r="O9" s="76"/>
      <c r="P9" s="98" t="s">
        <v>162</v>
      </c>
      <c r="Q9" s="99">
        <f>$J$9*3</f>
        <v>7992</v>
      </c>
      <c r="R9" s="99">
        <f>$E$9*3</f>
        <v>8400</v>
      </c>
      <c r="S9" s="99">
        <f t="shared" si="0"/>
        <v>408</v>
      </c>
      <c r="T9" s="100"/>
      <c r="U9" s="99">
        <f>Q9*2</f>
        <v>15984</v>
      </c>
      <c r="V9" s="99">
        <f>R9*2</f>
        <v>16800</v>
      </c>
      <c r="W9" s="99">
        <f t="shared" si="1"/>
        <v>816</v>
      </c>
      <c r="X9" s="100"/>
      <c r="Y9" s="99">
        <f>Q9*3</f>
        <v>23976</v>
      </c>
      <c r="Z9" s="99">
        <f>R9*3</f>
        <v>25200</v>
      </c>
      <c r="AA9" s="99">
        <f t="shared" si="2"/>
        <v>1224</v>
      </c>
    </row>
    <row r="10" spans="1:27">
      <c r="A10" s="5">
        <v>2.2000000000000002</v>
      </c>
      <c r="B10" s="1" t="s">
        <v>9</v>
      </c>
      <c r="C10" s="5">
        <v>3</v>
      </c>
      <c r="D10" s="5">
        <v>1</v>
      </c>
      <c r="E10" s="6">
        <v>1800</v>
      </c>
      <c r="F10" s="5">
        <f>C10*D10*E10</f>
        <v>5400</v>
      </c>
      <c r="G10" s="1" t="s">
        <v>37</v>
      </c>
      <c r="J10" s="61">
        <v>1400</v>
      </c>
      <c r="K10" s="61">
        <f t="shared" si="3"/>
        <v>4200</v>
      </c>
      <c r="L10" s="61">
        <f t="shared" si="4"/>
        <v>1200</v>
      </c>
      <c r="N10" s="74"/>
      <c r="O10" s="76"/>
      <c r="P10" s="98" t="s">
        <v>163</v>
      </c>
      <c r="Q10" s="99">
        <f>$J$10</f>
        <v>1400</v>
      </c>
      <c r="R10" s="99">
        <f>$E$10</f>
        <v>1800</v>
      </c>
      <c r="S10" s="99">
        <f t="shared" si="0"/>
        <v>400</v>
      </c>
      <c r="T10" s="100"/>
      <c r="U10" s="99">
        <f>Q10*2</f>
        <v>2800</v>
      </c>
      <c r="V10" s="99">
        <f>R10*2</f>
        <v>3600</v>
      </c>
      <c r="W10" s="99">
        <f t="shared" si="1"/>
        <v>800</v>
      </c>
      <c r="X10" s="100"/>
      <c r="Y10" s="99">
        <f>Q10*3</f>
        <v>4200</v>
      </c>
      <c r="Z10" s="99">
        <f>R10*3</f>
        <v>5400</v>
      </c>
      <c r="AA10" s="99">
        <f t="shared" si="2"/>
        <v>1200</v>
      </c>
    </row>
    <row r="11" spans="1:27">
      <c r="A11" s="5">
        <v>2.2999999999999998</v>
      </c>
      <c r="B11" s="1" t="s">
        <v>11</v>
      </c>
      <c r="C11" s="5">
        <v>1</v>
      </c>
      <c r="D11" s="5">
        <v>2</v>
      </c>
      <c r="E11" s="5">
        <v>1500</v>
      </c>
      <c r="F11" s="5">
        <f>C11*D11*E11</f>
        <v>3000</v>
      </c>
      <c r="G11" s="1" t="s">
        <v>12</v>
      </c>
      <c r="J11" s="61">
        <v>1400</v>
      </c>
      <c r="K11" s="61">
        <f t="shared" si="3"/>
        <v>2800</v>
      </c>
      <c r="L11" s="61">
        <f t="shared" si="4"/>
        <v>200</v>
      </c>
      <c r="N11" s="74"/>
      <c r="O11" s="76"/>
      <c r="P11" s="98" t="s">
        <v>164</v>
      </c>
      <c r="Q11" s="99">
        <v>0</v>
      </c>
      <c r="R11" s="99">
        <v>0</v>
      </c>
      <c r="S11" s="99">
        <f t="shared" si="0"/>
        <v>0</v>
      </c>
      <c r="T11" s="100"/>
      <c r="U11" s="99">
        <f>$K11</f>
        <v>2800</v>
      </c>
      <c r="V11" s="99">
        <f>$F11</f>
        <v>3000</v>
      </c>
      <c r="W11" s="99">
        <f t="shared" si="1"/>
        <v>200</v>
      </c>
      <c r="X11" s="100"/>
      <c r="Y11" s="99">
        <f>$K11*1</f>
        <v>2800</v>
      </c>
      <c r="Z11" s="99">
        <f>$F11</f>
        <v>3000</v>
      </c>
      <c r="AA11" s="99">
        <f t="shared" si="2"/>
        <v>200</v>
      </c>
    </row>
    <row r="12" spans="1:27">
      <c r="A12" s="5">
        <v>2.4</v>
      </c>
      <c r="B12" s="1" t="s">
        <v>19</v>
      </c>
      <c r="C12" s="5">
        <v>1</v>
      </c>
      <c r="D12" s="5">
        <v>2</v>
      </c>
      <c r="E12" s="5">
        <v>700</v>
      </c>
      <c r="F12" s="5">
        <f>C12*D12*E12</f>
        <v>1400</v>
      </c>
      <c r="G12" s="1" t="s">
        <v>20</v>
      </c>
      <c r="J12" s="61">
        <v>2664</v>
      </c>
      <c r="K12" s="61">
        <f>C12*D12*J12</f>
        <v>5328</v>
      </c>
      <c r="L12" s="61">
        <f>F12-K12</f>
        <v>-3928</v>
      </c>
      <c r="M12" t="s">
        <v>144</v>
      </c>
      <c r="N12" s="74"/>
      <c r="O12" s="76"/>
      <c r="P12" s="101" t="s">
        <v>149</v>
      </c>
      <c r="Q12" s="61">
        <f>$K12</f>
        <v>5328</v>
      </c>
      <c r="R12" s="61">
        <f>$F12</f>
        <v>1400</v>
      </c>
      <c r="S12" s="61">
        <f t="shared" ref="S12" si="5">R12-Q12</f>
        <v>-3928</v>
      </c>
      <c r="T12" s="100"/>
      <c r="U12" s="61">
        <f>$K12</f>
        <v>5328</v>
      </c>
      <c r="V12" s="61">
        <f>$F12</f>
        <v>1400</v>
      </c>
      <c r="W12" s="61">
        <f t="shared" ref="W12" si="6">V12-U12</f>
        <v>-3928</v>
      </c>
      <c r="X12" s="100"/>
      <c r="Y12" s="61">
        <f>$K12</f>
        <v>5328</v>
      </c>
      <c r="Z12" s="61">
        <f>$F12</f>
        <v>1400</v>
      </c>
      <c r="AA12" s="61">
        <f t="shared" si="2"/>
        <v>-3928</v>
      </c>
    </row>
    <row r="13" spans="1:27">
      <c r="A13" s="10"/>
      <c r="B13" s="3" t="s">
        <v>14</v>
      </c>
      <c r="C13" s="10"/>
      <c r="D13" s="10"/>
      <c r="E13" s="10"/>
      <c r="F13" s="17">
        <f>SUM(F9:F12)</f>
        <v>35000</v>
      </c>
      <c r="G13" s="11"/>
      <c r="K13" s="62">
        <f>SUM(K9:K12)</f>
        <v>36304</v>
      </c>
      <c r="L13" s="62">
        <f>SUM(L9:L12)</f>
        <v>-1304</v>
      </c>
      <c r="N13" s="74"/>
      <c r="O13" s="76"/>
      <c r="P13" s="71"/>
      <c r="Q13" s="62">
        <f>SUM(Q9:Q12)</f>
        <v>14720</v>
      </c>
      <c r="R13" s="62">
        <f>SUM(R9:R12)</f>
        <v>11600</v>
      </c>
      <c r="S13" s="62">
        <f t="shared" si="0"/>
        <v>-3120</v>
      </c>
      <c r="U13" s="62">
        <f>SUM(U9:U12)</f>
        <v>26912</v>
      </c>
      <c r="V13" s="62">
        <f>SUM(V9:V12)</f>
        <v>24800</v>
      </c>
      <c r="W13" s="62">
        <f t="shared" si="1"/>
        <v>-2112</v>
      </c>
      <c r="Y13" s="62">
        <f>SUM(Y9:Y12)</f>
        <v>36304</v>
      </c>
      <c r="Z13" s="62">
        <f>SUM(Z9:Z12)</f>
        <v>35000</v>
      </c>
      <c r="AA13" s="62">
        <f>Z13-Y13</f>
        <v>-1304</v>
      </c>
    </row>
    <row r="14" spans="1:27">
      <c r="A14" s="5"/>
      <c r="B14" s="1"/>
      <c r="C14" s="5"/>
      <c r="D14" s="5"/>
      <c r="E14" s="5"/>
      <c r="F14" s="5"/>
      <c r="G14" s="1"/>
      <c r="N14" s="74"/>
      <c r="O14" s="76"/>
      <c r="P14" s="71"/>
      <c r="S14" s="61">
        <f t="shared" si="0"/>
        <v>0</v>
      </c>
      <c r="W14" s="61">
        <f t="shared" si="1"/>
        <v>0</v>
      </c>
      <c r="AA14" s="61">
        <f t="shared" si="2"/>
        <v>0</v>
      </c>
    </row>
    <row r="15" spans="1:27">
      <c r="A15" s="7">
        <v>3</v>
      </c>
      <c r="B15" s="16" t="s">
        <v>18</v>
      </c>
      <c r="C15" s="7" t="s">
        <v>22</v>
      </c>
      <c r="D15" s="7" t="s">
        <v>23</v>
      </c>
      <c r="E15" s="7" t="s">
        <v>6</v>
      </c>
      <c r="F15" s="7" t="s">
        <v>0</v>
      </c>
      <c r="G15" s="8"/>
      <c r="N15" s="74"/>
      <c r="O15" s="76"/>
      <c r="P15" s="71"/>
      <c r="S15" s="61">
        <f t="shared" si="0"/>
        <v>0</v>
      </c>
      <c r="W15" s="61">
        <f t="shared" si="1"/>
        <v>0</v>
      </c>
      <c r="AA15" s="61">
        <f t="shared" si="2"/>
        <v>0</v>
      </c>
    </row>
    <row r="16" spans="1:27">
      <c r="A16" s="5">
        <v>3.1</v>
      </c>
      <c r="B16" s="1" t="s">
        <v>21</v>
      </c>
      <c r="C16" s="5">
        <v>22</v>
      </c>
      <c r="D16" s="5">
        <v>3</v>
      </c>
      <c r="E16" s="5">
        <v>350</v>
      </c>
      <c r="F16" s="5">
        <f>C16*D16*E16</f>
        <v>23100</v>
      </c>
      <c r="G16" s="1" t="s">
        <v>24</v>
      </c>
      <c r="J16" s="61">
        <f>E16*80%</f>
        <v>280</v>
      </c>
      <c r="K16" s="61">
        <f>C16*D16*J16</f>
        <v>18480</v>
      </c>
      <c r="L16" s="61">
        <f t="shared" ref="L16:L19" si="7">F16-K16</f>
        <v>4620</v>
      </c>
      <c r="N16" s="74"/>
      <c r="O16" s="76"/>
      <c r="P16" s="71" t="s">
        <v>148</v>
      </c>
      <c r="Q16" s="61">
        <f>$J16*$Q$3*3</f>
        <v>840</v>
      </c>
      <c r="R16" s="61">
        <f>$E16*$Q$3*3</f>
        <v>1050</v>
      </c>
      <c r="S16" s="61">
        <f t="shared" si="0"/>
        <v>210</v>
      </c>
      <c r="U16" s="61">
        <f>$J16*$U$3*3</f>
        <v>12600</v>
      </c>
      <c r="V16" s="61">
        <f>$E16*$U$3*3</f>
        <v>15750</v>
      </c>
      <c r="W16" s="61">
        <f t="shared" si="1"/>
        <v>3150</v>
      </c>
      <c r="Y16" s="61">
        <f>$J16*$Y$3*3</f>
        <v>14280</v>
      </c>
      <c r="Z16" s="61">
        <f>$E16*$Y$3*3</f>
        <v>17850</v>
      </c>
      <c r="AA16" s="61">
        <f t="shared" si="2"/>
        <v>3570</v>
      </c>
    </row>
    <row r="17" spans="1:27">
      <c r="A17" s="5">
        <v>3.2</v>
      </c>
      <c r="B17" s="1" t="s">
        <v>25</v>
      </c>
      <c r="C17" s="5">
        <v>22</v>
      </c>
      <c r="D17" s="5">
        <v>1</v>
      </c>
      <c r="E17" s="5">
        <v>250</v>
      </c>
      <c r="F17" s="5">
        <f>C17*D17*E17</f>
        <v>5500</v>
      </c>
      <c r="G17" s="1" t="s">
        <v>26</v>
      </c>
      <c r="J17" s="61">
        <f>E17*80%</f>
        <v>200</v>
      </c>
      <c r="K17" s="61">
        <f t="shared" ref="K17:K19" si="8">C17*D17*J17</f>
        <v>4400</v>
      </c>
      <c r="L17" s="61">
        <f t="shared" si="7"/>
        <v>1100</v>
      </c>
      <c r="N17" s="74"/>
      <c r="O17" s="76"/>
      <c r="P17" s="71" t="s">
        <v>148</v>
      </c>
      <c r="Q17" s="61">
        <f t="shared" ref="Q17:Q18" si="9">$J17*$Q$3</f>
        <v>200</v>
      </c>
      <c r="R17" s="61">
        <f t="shared" ref="R17:R18" si="10">$E17*$Q$3</f>
        <v>250</v>
      </c>
      <c r="S17" s="61">
        <f t="shared" si="0"/>
        <v>50</v>
      </c>
      <c r="U17" s="61">
        <f t="shared" ref="U17:U18" si="11">$J17*$U$3</f>
        <v>3000</v>
      </c>
      <c r="V17" s="61">
        <f t="shared" ref="V17:V18" si="12">$E17*$U$3</f>
        <v>3750</v>
      </c>
      <c r="W17" s="61">
        <f t="shared" si="1"/>
        <v>750</v>
      </c>
      <c r="Y17" s="61">
        <f t="shared" ref="Y17:Y18" si="13">$J17*$Y$3</f>
        <v>3400</v>
      </c>
      <c r="Z17" s="61">
        <f t="shared" ref="Z17:Z18" si="14">$E17*$Y$3</f>
        <v>4250</v>
      </c>
      <c r="AA17" s="61">
        <f t="shared" si="2"/>
        <v>850</v>
      </c>
    </row>
    <row r="18" spans="1:27" s="79" customFormat="1">
      <c r="A18" s="77">
        <v>3.3</v>
      </c>
      <c r="B18" s="78" t="s">
        <v>151</v>
      </c>
      <c r="C18" s="77">
        <v>22</v>
      </c>
      <c r="D18" s="77">
        <v>1</v>
      </c>
      <c r="E18" s="77">
        <v>700</v>
      </c>
      <c r="F18" s="77">
        <f>C18*D18*E18</f>
        <v>15400</v>
      </c>
      <c r="G18" s="78"/>
      <c r="J18" s="80">
        <v>700</v>
      </c>
      <c r="K18" s="80">
        <f t="shared" ref="K18" si="15">C18*D18*J18</f>
        <v>15400</v>
      </c>
      <c r="L18" s="80">
        <f t="shared" ref="L18" si="16">F18-K18</f>
        <v>0</v>
      </c>
      <c r="N18" s="81"/>
      <c r="O18" s="82"/>
      <c r="P18" s="83" t="s">
        <v>148</v>
      </c>
      <c r="Q18" s="80">
        <f t="shared" si="9"/>
        <v>700</v>
      </c>
      <c r="R18" s="80">
        <f t="shared" si="10"/>
        <v>700</v>
      </c>
      <c r="S18" s="80">
        <f t="shared" si="0"/>
        <v>0</v>
      </c>
      <c r="U18" s="80">
        <f t="shared" si="11"/>
        <v>10500</v>
      </c>
      <c r="V18" s="80">
        <f t="shared" si="12"/>
        <v>10500</v>
      </c>
      <c r="W18" s="80">
        <f t="shared" si="1"/>
        <v>0</v>
      </c>
      <c r="Y18" s="80">
        <f t="shared" si="13"/>
        <v>11900</v>
      </c>
      <c r="Z18" s="80">
        <f t="shared" si="14"/>
        <v>11900</v>
      </c>
      <c r="AA18" s="80">
        <f t="shared" si="2"/>
        <v>0</v>
      </c>
    </row>
    <row r="19" spans="1:27">
      <c r="A19" s="5">
        <v>3.4</v>
      </c>
      <c r="B19" s="1" t="s">
        <v>27</v>
      </c>
      <c r="C19" s="5">
        <v>1</v>
      </c>
      <c r="D19" s="5">
        <v>3</v>
      </c>
      <c r="E19" s="5">
        <v>150</v>
      </c>
      <c r="F19" s="5">
        <f>C19*D19*E19</f>
        <v>450</v>
      </c>
      <c r="G19" s="1" t="s">
        <v>10</v>
      </c>
      <c r="J19" s="61">
        <v>150</v>
      </c>
      <c r="K19" s="61">
        <f t="shared" si="8"/>
        <v>450</v>
      </c>
      <c r="L19" s="61">
        <f t="shared" si="7"/>
        <v>0</v>
      </c>
      <c r="N19" s="74"/>
      <c r="O19" s="76"/>
      <c r="P19" s="71" t="s">
        <v>149</v>
      </c>
      <c r="Q19" s="61">
        <f>$K19</f>
        <v>450</v>
      </c>
      <c r="R19" s="61">
        <f>$F19</f>
        <v>450</v>
      </c>
      <c r="S19" s="61">
        <f t="shared" si="0"/>
        <v>0</v>
      </c>
      <c r="U19" s="61">
        <f>$K19</f>
        <v>450</v>
      </c>
      <c r="V19" s="61">
        <f>$F19</f>
        <v>450</v>
      </c>
      <c r="W19" s="61">
        <f t="shared" si="1"/>
        <v>0</v>
      </c>
      <c r="Y19" s="61">
        <f>$K19</f>
        <v>450</v>
      </c>
      <c r="Z19" s="61">
        <f>$F19</f>
        <v>450</v>
      </c>
      <c r="AA19" s="61">
        <f t="shared" si="2"/>
        <v>0</v>
      </c>
    </row>
    <row r="20" spans="1:27">
      <c r="A20" s="10"/>
      <c r="B20" s="3" t="s">
        <v>28</v>
      </c>
      <c r="C20" s="10"/>
      <c r="D20" s="10"/>
      <c r="E20" s="10"/>
      <c r="F20" s="17">
        <f>SUM(F16:F19)</f>
        <v>44450</v>
      </c>
      <c r="G20" s="11"/>
      <c r="K20" s="62">
        <f>SUM(K16:K19)</f>
        <v>38730</v>
      </c>
      <c r="L20" s="62">
        <f>SUM(L16:L19)</f>
        <v>5720</v>
      </c>
      <c r="N20" s="74"/>
      <c r="O20" s="76"/>
      <c r="P20" s="71"/>
      <c r="Q20" s="62">
        <f>SUM(Q16:Q19)</f>
        <v>2190</v>
      </c>
      <c r="R20" s="62">
        <f>SUM(R16:R19)</f>
        <v>2450</v>
      </c>
      <c r="S20" s="62">
        <f t="shared" si="0"/>
        <v>260</v>
      </c>
      <c r="U20" s="62">
        <f>SUM(U16:U19)</f>
        <v>26550</v>
      </c>
      <c r="V20" s="62">
        <f>SUM(V16:V19)</f>
        <v>30450</v>
      </c>
      <c r="W20" s="62">
        <f t="shared" si="1"/>
        <v>3900</v>
      </c>
      <c r="Y20" s="62">
        <f>SUM(Y16:Y19)</f>
        <v>30030</v>
      </c>
      <c r="Z20" s="62">
        <f>SUM(Z16:Z19)</f>
        <v>34450</v>
      </c>
      <c r="AA20" s="62">
        <f t="shared" si="2"/>
        <v>4420</v>
      </c>
    </row>
    <row r="21" spans="1:27">
      <c r="A21" s="5"/>
      <c r="B21" s="1"/>
      <c r="C21" s="5"/>
      <c r="D21" s="5"/>
      <c r="E21" s="5"/>
      <c r="F21" s="5"/>
      <c r="G21" s="1"/>
      <c r="N21" s="74"/>
      <c r="O21" s="76"/>
      <c r="P21" s="71"/>
      <c r="S21" s="61">
        <f t="shared" si="0"/>
        <v>0</v>
      </c>
      <c r="W21" s="61">
        <f t="shared" si="1"/>
        <v>0</v>
      </c>
      <c r="AA21" s="61">
        <f t="shared" si="2"/>
        <v>0</v>
      </c>
    </row>
    <row r="22" spans="1:27">
      <c r="A22" s="7">
        <v>4</v>
      </c>
      <c r="B22" s="16" t="s">
        <v>29</v>
      </c>
      <c r="C22" s="7" t="s">
        <v>22</v>
      </c>
      <c r="D22" s="7" t="s">
        <v>2</v>
      </c>
      <c r="E22" s="7" t="s">
        <v>6</v>
      </c>
      <c r="F22" s="7" t="s">
        <v>0</v>
      </c>
      <c r="G22" s="8"/>
      <c r="I22" s="60" t="s">
        <v>138</v>
      </c>
      <c r="N22" s="74"/>
      <c r="O22" s="76"/>
      <c r="P22" s="71"/>
      <c r="S22" s="61">
        <f t="shared" si="0"/>
        <v>0</v>
      </c>
      <c r="W22" s="61">
        <f t="shared" si="1"/>
        <v>0</v>
      </c>
      <c r="AA22" s="61">
        <f t="shared" si="2"/>
        <v>0</v>
      </c>
    </row>
    <row r="23" spans="1:27">
      <c r="A23" s="5">
        <v>4.0999999999999996</v>
      </c>
      <c r="B23" s="2" t="s">
        <v>52</v>
      </c>
      <c r="C23" s="5">
        <v>22</v>
      </c>
      <c r="D23" s="5">
        <v>1</v>
      </c>
      <c r="E23" s="6">
        <v>220</v>
      </c>
      <c r="F23" s="5">
        <f>C23*D23*E23</f>
        <v>4840</v>
      </c>
      <c r="G23" s="1" t="s">
        <v>30</v>
      </c>
      <c r="J23" s="61">
        <v>190</v>
      </c>
      <c r="K23" s="61">
        <f t="shared" ref="K23:K26" si="17">C23*D23*J23</f>
        <v>4180</v>
      </c>
      <c r="L23" s="61">
        <f t="shared" ref="L23:L26" si="18">F23-K23</f>
        <v>660</v>
      </c>
      <c r="N23" s="74"/>
      <c r="O23" s="76"/>
      <c r="P23" s="71" t="s">
        <v>148</v>
      </c>
      <c r="Q23" s="61">
        <f t="shared" ref="Q23:Q26" si="19">$J23*$Q$3</f>
        <v>190</v>
      </c>
      <c r="R23" s="61">
        <f t="shared" ref="R23:R26" si="20">$E23*$Q$3</f>
        <v>220</v>
      </c>
      <c r="S23" s="61">
        <f t="shared" si="0"/>
        <v>30</v>
      </c>
      <c r="U23" s="61">
        <f t="shared" ref="U23:U26" si="21">$J23*$U$3</f>
        <v>2850</v>
      </c>
      <c r="V23" s="61">
        <f t="shared" ref="V23:V26" si="22">$E23*$U$3</f>
        <v>3300</v>
      </c>
      <c r="W23" s="61">
        <f t="shared" si="1"/>
        <v>450</v>
      </c>
      <c r="Y23" s="61">
        <f t="shared" ref="Y23:Y26" si="23">$J23*$Y$3</f>
        <v>3230</v>
      </c>
      <c r="Z23" s="61">
        <f t="shared" ref="Z23:Z26" si="24">$E23*$Y$3</f>
        <v>3740</v>
      </c>
      <c r="AA23" s="61">
        <f t="shared" si="2"/>
        <v>510</v>
      </c>
    </row>
    <row r="24" spans="1:27">
      <c r="A24" s="5">
        <v>4.2</v>
      </c>
      <c r="B24" s="1" t="s">
        <v>31</v>
      </c>
      <c r="C24" s="5">
        <v>22</v>
      </c>
      <c r="D24" s="5">
        <v>1</v>
      </c>
      <c r="E24" s="77">
        <v>200</v>
      </c>
      <c r="F24" s="5">
        <f t="shared" ref="F24:F26" si="25">C24*D24*E24</f>
        <v>4400</v>
      </c>
      <c r="G24" s="1"/>
      <c r="I24">
        <v>50</v>
      </c>
      <c r="J24" s="61">
        <v>50</v>
      </c>
      <c r="K24" s="61">
        <f t="shared" si="17"/>
        <v>1100</v>
      </c>
      <c r="L24" s="61">
        <f t="shared" si="18"/>
        <v>3300</v>
      </c>
      <c r="N24" s="74"/>
      <c r="O24" s="76"/>
      <c r="P24" s="71" t="s">
        <v>148</v>
      </c>
      <c r="Q24" s="61">
        <f t="shared" si="19"/>
        <v>50</v>
      </c>
      <c r="R24" s="61">
        <f t="shared" si="20"/>
        <v>200</v>
      </c>
      <c r="S24" s="61">
        <f t="shared" si="0"/>
        <v>150</v>
      </c>
      <c r="U24" s="61">
        <f t="shared" si="21"/>
        <v>750</v>
      </c>
      <c r="V24" s="61">
        <f t="shared" si="22"/>
        <v>3000</v>
      </c>
      <c r="W24" s="61">
        <f t="shared" si="1"/>
        <v>2250</v>
      </c>
      <c r="Y24" s="61">
        <f t="shared" si="23"/>
        <v>850</v>
      </c>
      <c r="Z24" s="61">
        <f t="shared" si="24"/>
        <v>3400</v>
      </c>
      <c r="AA24" s="61">
        <f t="shared" si="2"/>
        <v>2550</v>
      </c>
    </row>
    <row r="25" spans="1:27">
      <c r="A25" s="5">
        <v>4.3</v>
      </c>
      <c r="B25" s="1" t="s">
        <v>32</v>
      </c>
      <c r="C25" s="5">
        <v>22</v>
      </c>
      <c r="D25" s="5">
        <v>1</v>
      </c>
      <c r="E25" s="77">
        <v>250</v>
      </c>
      <c r="F25" s="5">
        <f t="shared" si="25"/>
        <v>5500</v>
      </c>
      <c r="G25" s="1"/>
      <c r="I25">
        <v>150</v>
      </c>
      <c r="J25" s="61">
        <v>150</v>
      </c>
      <c r="K25" s="61">
        <f t="shared" si="17"/>
        <v>3300</v>
      </c>
      <c r="L25" s="61">
        <f t="shared" si="18"/>
        <v>2200</v>
      </c>
      <c r="N25" s="74"/>
      <c r="O25" s="76"/>
      <c r="P25" s="71" t="s">
        <v>148</v>
      </c>
      <c r="Q25" s="61">
        <f t="shared" si="19"/>
        <v>150</v>
      </c>
      <c r="R25" s="61">
        <f t="shared" si="20"/>
        <v>250</v>
      </c>
      <c r="S25" s="61">
        <f t="shared" si="0"/>
        <v>100</v>
      </c>
      <c r="U25" s="61">
        <f t="shared" si="21"/>
        <v>2250</v>
      </c>
      <c r="V25" s="61">
        <f t="shared" si="22"/>
        <v>3750</v>
      </c>
      <c r="W25" s="61">
        <f t="shared" si="1"/>
        <v>1500</v>
      </c>
      <c r="Y25" s="61">
        <f t="shared" si="23"/>
        <v>2550</v>
      </c>
      <c r="Z25" s="61">
        <f t="shared" si="24"/>
        <v>4250</v>
      </c>
      <c r="AA25" s="61">
        <f t="shared" si="2"/>
        <v>1700</v>
      </c>
    </row>
    <row r="26" spans="1:27">
      <c r="A26" s="5">
        <v>4.4000000000000004</v>
      </c>
      <c r="B26" s="1" t="s">
        <v>33</v>
      </c>
      <c r="C26" s="5">
        <v>22</v>
      </c>
      <c r="D26" s="5">
        <v>1</v>
      </c>
      <c r="E26" s="77">
        <v>200</v>
      </c>
      <c r="F26" s="5">
        <f t="shared" si="25"/>
        <v>4400</v>
      </c>
      <c r="G26" s="1"/>
      <c r="I26">
        <v>90</v>
      </c>
      <c r="J26" s="61">
        <v>90</v>
      </c>
      <c r="K26" s="61">
        <f t="shared" si="17"/>
        <v>1980</v>
      </c>
      <c r="L26" s="61">
        <f t="shared" si="18"/>
        <v>2420</v>
      </c>
      <c r="N26" s="74"/>
      <c r="O26" s="76"/>
      <c r="P26" s="71" t="s">
        <v>148</v>
      </c>
      <c r="Q26" s="61">
        <f t="shared" si="19"/>
        <v>90</v>
      </c>
      <c r="R26" s="61">
        <f t="shared" si="20"/>
        <v>200</v>
      </c>
      <c r="S26" s="61">
        <f t="shared" si="0"/>
        <v>110</v>
      </c>
      <c r="U26" s="61">
        <f t="shared" si="21"/>
        <v>1350</v>
      </c>
      <c r="V26" s="61">
        <f t="shared" si="22"/>
        <v>3000</v>
      </c>
      <c r="W26" s="61">
        <f t="shared" si="1"/>
        <v>1650</v>
      </c>
      <c r="Y26" s="61">
        <f t="shared" si="23"/>
        <v>1530</v>
      </c>
      <c r="Z26" s="61">
        <f t="shared" si="24"/>
        <v>3400</v>
      </c>
      <c r="AA26" s="61">
        <f t="shared" si="2"/>
        <v>1870</v>
      </c>
    </row>
    <row r="27" spans="1:27">
      <c r="A27" s="10"/>
      <c r="B27" s="3" t="s">
        <v>34</v>
      </c>
      <c r="C27" s="10"/>
      <c r="D27" s="10"/>
      <c r="E27" s="10"/>
      <c r="F27" s="17">
        <f>SUM(F23:F26)</f>
        <v>19140</v>
      </c>
      <c r="G27" s="11"/>
      <c r="K27" s="62">
        <f>SUM(K23:K26)</f>
        <v>10560</v>
      </c>
      <c r="L27" s="62">
        <f>SUM(L23:L26)</f>
        <v>8580</v>
      </c>
      <c r="N27" s="74"/>
      <c r="O27" s="76"/>
      <c r="P27" s="71"/>
      <c r="Q27" s="62">
        <f>SUM(Q23:Q26)</f>
        <v>480</v>
      </c>
      <c r="R27" s="62">
        <f>SUM(R23:R26)</f>
        <v>870</v>
      </c>
      <c r="S27" s="62">
        <f t="shared" si="0"/>
        <v>390</v>
      </c>
      <c r="U27" s="62">
        <f>SUM(U23:U26)</f>
        <v>7200</v>
      </c>
      <c r="V27" s="62">
        <f>SUM(V23:V26)</f>
        <v>13050</v>
      </c>
      <c r="W27" s="62">
        <f t="shared" si="1"/>
        <v>5850</v>
      </c>
      <c r="Y27" s="62">
        <f>SUM(Y23:Y26)</f>
        <v>8160</v>
      </c>
      <c r="Z27" s="62">
        <f>SUM(Z23:Z26)</f>
        <v>14790</v>
      </c>
      <c r="AA27" s="62">
        <f t="shared" si="2"/>
        <v>6630</v>
      </c>
    </row>
    <row r="28" spans="1:27">
      <c r="A28" s="5"/>
      <c r="B28" s="1"/>
      <c r="C28" s="5"/>
      <c r="D28" s="5"/>
      <c r="E28" s="5"/>
      <c r="F28" s="5"/>
      <c r="G28" s="1"/>
      <c r="N28" s="74"/>
      <c r="O28" s="76"/>
      <c r="P28" s="71"/>
      <c r="S28" s="61">
        <f t="shared" si="0"/>
        <v>0</v>
      </c>
      <c r="W28" s="61">
        <f t="shared" si="1"/>
        <v>0</v>
      </c>
      <c r="AA28" s="61">
        <f t="shared" si="2"/>
        <v>0</v>
      </c>
    </row>
    <row r="29" spans="1:27">
      <c r="A29" s="7">
        <v>5</v>
      </c>
      <c r="B29" s="16" t="s">
        <v>35</v>
      </c>
      <c r="C29" s="7" t="s">
        <v>22</v>
      </c>
      <c r="D29" s="7" t="s">
        <v>2</v>
      </c>
      <c r="E29" s="7" t="s">
        <v>6</v>
      </c>
      <c r="F29" s="7" t="s">
        <v>0</v>
      </c>
      <c r="G29" s="8"/>
      <c r="N29" s="74"/>
      <c r="O29" s="76"/>
      <c r="P29" s="71"/>
      <c r="S29" s="61">
        <f t="shared" si="0"/>
        <v>0</v>
      </c>
      <c r="W29" s="61">
        <f t="shared" si="1"/>
        <v>0</v>
      </c>
      <c r="AA29" s="61">
        <f t="shared" si="2"/>
        <v>0</v>
      </c>
    </row>
    <row r="30" spans="1:27">
      <c r="A30" s="5">
        <v>5.0999999999999996</v>
      </c>
      <c r="B30" s="1" t="s">
        <v>36</v>
      </c>
      <c r="C30" s="5">
        <v>1</v>
      </c>
      <c r="D30" s="5">
        <v>1</v>
      </c>
      <c r="E30" s="5">
        <v>500</v>
      </c>
      <c r="F30" s="5">
        <f>C30*D30*E30</f>
        <v>500</v>
      </c>
      <c r="G30" s="1"/>
      <c r="J30" s="61">
        <v>500</v>
      </c>
      <c r="K30" s="61">
        <f t="shared" ref="K30:K34" si="26">C30*D30*J30</f>
        <v>500</v>
      </c>
      <c r="L30" s="61">
        <f t="shared" ref="L30:L34" si="27">F30-K30</f>
        <v>0</v>
      </c>
      <c r="N30" s="74"/>
      <c r="O30" s="76"/>
      <c r="P30" s="71" t="s">
        <v>149</v>
      </c>
      <c r="Q30" s="61">
        <f t="shared" ref="Q30:Q34" si="28">$K30</f>
        <v>500</v>
      </c>
      <c r="R30" s="61">
        <f t="shared" ref="R30:R34" si="29">$F30</f>
        <v>500</v>
      </c>
      <c r="S30" s="61">
        <f t="shared" si="0"/>
        <v>0</v>
      </c>
      <c r="U30" s="61">
        <f t="shared" ref="U30:U34" si="30">$K30</f>
        <v>500</v>
      </c>
      <c r="V30" s="61">
        <f t="shared" ref="V30:V34" si="31">$F30</f>
        <v>500</v>
      </c>
      <c r="W30" s="61">
        <f t="shared" si="1"/>
        <v>0</v>
      </c>
      <c r="Y30" s="61">
        <f t="shared" ref="Y30:Y34" si="32">$K30</f>
        <v>500</v>
      </c>
      <c r="Z30" s="61">
        <f t="shared" ref="Z30:Z34" si="33">$F30</f>
        <v>500</v>
      </c>
      <c r="AA30" s="61">
        <f t="shared" si="2"/>
        <v>0</v>
      </c>
    </row>
    <row r="31" spans="1:27">
      <c r="A31" s="5">
        <v>5.2</v>
      </c>
      <c r="B31" s="1" t="s">
        <v>38</v>
      </c>
      <c r="C31" s="5">
        <v>1</v>
      </c>
      <c r="D31" s="5">
        <v>3</v>
      </c>
      <c r="E31" s="5">
        <v>5000</v>
      </c>
      <c r="F31" s="5">
        <f t="shared" ref="F31:F34" si="34">C31*D31*E31</f>
        <v>15000</v>
      </c>
      <c r="G31" s="1" t="s">
        <v>40</v>
      </c>
      <c r="J31" s="61">
        <v>0</v>
      </c>
      <c r="K31" s="61">
        <f t="shared" si="26"/>
        <v>0</v>
      </c>
      <c r="L31" s="61">
        <f t="shared" si="27"/>
        <v>15000</v>
      </c>
      <c r="N31" s="74"/>
      <c r="O31" s="76"/>
      <c r="P31" s="71" t="s">
        <v>149</v>
      </c>
      <c r="Q31" s="61">
        <f t="shared" si="28"/>
        <v>0</v>
      </c>
      <c r="R31" s="61">
        <f t="shared" si="29"/>
        <v>15000</v>
      </c>
      <c r="S31" s="61">
        <f t="shared" si="0"/>
        <v>15000</v>
      </c>
      <c r="U31" s="61">
        <f t="shared" si="30"/>
        <v>0</v>
      </c>
      <c r="V31" s="61">
        <f t="shared" si="31"/>
        <v>15000</v>
      </c>
      <c r="W31" s="61">
        <f t="shared" si="1"/>
        <v>15000</v>
      </c>
      <c r="Y31" s="61">
        <f t="shared" si="32"/>
        <v>0</v>
      </c>
      <c r="Z31" s="61">
        <f t="shared" si="33"/>
        <v>15000</v>
      </c>
      <c r="AA31" s="61">
        <f t="shared" si="2"/>
        <v>15000</v>
      </c>
    </row>
    <row r="32" spans="1:27">
      <c r="A32" s="5">
        <v>5.3</v>
      </c>
      <c r="B32" s="1" t="s">
        <v>39</v>
      </c>
      <c r="C32" s="5">
        <v>1</v>
      </c>
      <c r="D32" s="5">
        <v>0.5</v>
      </c>
      <c r="E32" s="5">
        <v>5000</v>
      </c>
      <c r="F32" s="5">
        <f t="shared" si="34"/>
        <v>2500</v>
      </c>
      <c r="G32" s="1" t="s">
        <v>41</v>
      </c>
      <c r="J32" s="61">
        <v>0</v>
      </c>
      <c r="K32" s="61">
        <f t="shared" si="26"/>
        <v>0</v>
      </c>
      <c r="L32" s="61">
        <f t="shared" si="27"/>
        <v>2500</v>
      </c>
      <c r="N32" s="74"/>
      <c r="O32" s="76"/>
      <c r="P32" s="71" t="s">
        <v>149</v>
      </c>
      <c r="Q32" s="61">
        <f t="shared" si="28"/>
        <v>0</v>
      </c>
      <c r="R32" s="61">
        <f t="shared" si="29"/>
        <v>2500</v>
      </c>
      <c r="S32" s="61">
        <f t="shared" si="0"/>
        <v>2500</v>
      </c>
      <c r="U32" s="61">
        <f t="shared" si="30"/>
        <v>0</v>
      </c>
      <c r="V32" s="61">
        <f t="shared" si="31"/>
        <v>2500</v>
      </c>
      <c r="W32" s="61">
        <f t="shared" si="1"/>
        <v>2500</v>
      </c>
      <c r="Y32" s="61">
        <f t="shared" si="32"/>
        <v>0</v>
      </c>
      <c r="Z32" s="61">
        <f t="shared" si="33"/>
        <v>2500</v>
      </c>
      <c r="AA32" s="61">
        <f t="shared" si="2"/>
        <v>2500</v>
      </c>
    </row>
    <row r="33" spans="1:27" ht="45">
      <c r="A33" s="5">
        <v>5.4</v>
      </c>
      <c r="B33" s="1" t="s">
        <v>42</v>
      </c>
      <c r="C33" s="5">
        <v>5</v>
      </c>
      <c r="D33" s="5">
        <v>0.5</v>
      </c>
      <c r="E33" s="5">
        <v>3000</v>
      </c>
      <c r="F33" s="5">
        <f t="shared" si="34"/>
        <v>7500</v>
      </c>
      <c r="G33" s="2" t="s">
        <v>134</v>
      </c>
      <c r="J33" s="61">
        <v>0</v>
      </c>
      <c r="K33" s="61">
        <f t="shared" si="26"/>
        <v>0</v>
      </c>
      <c r="L33" s="61">
        <f t="shared" si="27"/>
        <v>7500</v>
      </c>
      <c r="N33" s="74"/>
      <c r="O33" s="76"/>
      <c r="P33" s="71" t="s">
        <v>149</v>
      </c>
      <c r="Q33" s="61">
        <f t="shared" si="28"/>
        <v>0</v>
      </c>
      <c r="R33" s="61">
        <f t="shared" si="29"/>
        <v>7500</v>
      </c>
      <c r="S33" s="61">
        <f t="shared" si="0"/>
        <v>7500</v>
      </c>
      <c r="U33" s="61">
        <f t="shared" si="30"/>
        <v>0</v>
      </c>
      <c r="V33" s="61">
        <f t="shared" si="31"/>
        <v>7500</v>
      </c>
      <c r="W33" s="61">
        <f t="shared" si="1"/>
        <v>7500</v>
      </c>
      <c r="Y33" s="61">
        <f t="shared" si="32"/>
        <v>0</v>
      </c>
      <c r="Z33" s="61">
        <f t="shared" si="33"/>
        <v>7500</v>
      </c>
      <c r="AA33" s="61">
        <f t="shared" si="2"/>
        <v>7500</v>
      </c>
    </row>
    <row r="34" spans="1:27">
      <c r="A34" s="5">
        <v>5.5</v>
      </c>
      <c r="B34" s="1" t="s">
        <v>43</v>
      </c>
      <c r="C34" s="5">
        <v>1</v>
      </c>
      <c r="D34" s="5">
        <v>1</v>
      </c>
      <c r="E34" s="5">
        <v>8500</v>
      </c>
      <c r="F34" s="5">
        <f t="shared" si="34"/>
        <v>8500</v>
      </c>
      <c r="G34" s="1"/>
      <c r="J34" s="61">
        <v>8500</v>
      </c>
      <c r="K34" s="61">
        <f t="shared" si="26"/>
        <v>8500</v>
      </c>
      <c r="L34" s="61">
        <f t="shared" si="27"/>
        <v>0</v>
      </c>
      <c r="N34" s="74"/>
      <c r="O34" s="76"/>
      <c r="P34" s="71" t="s">
        <v>149</v>
      </c>
      <c r="Q34" s="61">
        <f t="shared" si="28"/>
        <v>8500</v>
      </c>
      <c r="R34" s="61">
        <f t="shared" si="29"/>
        <v>8500</v>
      </c>
      <c r="S34" s="61">
        <f t="shared" si="0"/>
        <v>0</v>
      </c>
      <c r="U34" s="61">
        <f t="shared" si="30"/>
        <v>8500</v>
      </c>
      <c r="V34" s="61">
        <f t="shared" si="31"/>
        <v>8500</v>
      </c>
      <c r="W34" s="61">
        <f t="shared" si="1"/>
        <v>0</v>
      </c>
      <c r="Y34" s="61">
        <f t="shared" si="32"/>
        <v>8500</v>
      </c>
      <c r="Z34" s="61">
        <f t="shared" si="33"/>
        <v>8500</v>
      </c>
      <c r="AA34" s="61">
        <f t="shared" si="2"/>
        <v>0</v>
      </c>
    </row>
    <row r="35" spans="1:27">
      <c r="A35" s="10"/>
      <c r="B35" s="3" t="s">
        <v>44</v>
      </c>
      <c r="C35" s="10"/>
      <c r="D35" s="10"/>
      <c r="E35" s="10"/>
      <c r="F35" s="17">
        <f>SUM(F30:F34)</f>
        <v>34000</v>
      </c>
      <c r="G35" s="11"/>
      <c r="K35" s="62">
        <f>SUM(K30:K34)</f>
        <v>9000</v>
      </c>
      <c r="L35" s="62">
        <f>SUM(L30:L34)</f>
        <v>25000</v>
      </c>
      <c r="N35" s="74"/>
      <c r="O35" s="76"/>
      <c r="P35" s="71"/>
      <c r="Q35" s="62">
        <f>SUM(Q30:Q34)</f>
        <v>9000</v>
      </c>
      <c r="R35" s="62">
        <f>SUM(R30:R34)</f>
        <v>34000</v>
      </c>
      <c r="S35" s="62">
        <f t="shared" si="0"/>
        <v>25000</v>
      </c>
      <c r="U35" s="62">
        <f>SUM(U30:U34)</f>
        <v>9000</v>
      </c>
      <c r="V35" s="62">
        <f>SUM(V30:V34)</f>
        <v>34000</v>
      </c>
      <c r="W35" s="62">
        <f t="shared" si="1"/>
        <v>25000</v>
      </c>
      <c r="Y35" s="62">
        <f>SUM(Y30:Y34)</f>
        <v>9000</v>
      </c>
      <c r="Z35" s="62">
        <f>SUM(Z30:Z34)</f>
        <v>34000</v>
      </c>
      <c r="AA35" s="62">
        <f t="shared" si="2"/>
        <v>25000</v>
      </c>
    </row>
    <row r="36" spans="1:27">
      <c r="A36" s="5"/>
      <c r="B36" s="1"/>
      <c r="C36" s="5"/>
      <c r="D36" s="5"/>
      <c r="E36" s="5"/>
      <c r="F36" s="5"/>
      <c r="G36" s="1"/>
    </row>
    <row r="37" spans="1:27">
      <c r="A37" s="5"/>
      <c r="B37" s="18" t="s">
        <v>45</v>
      </c>
      <c r="C37" s="19"/>
      <c r="D37" s="19"/>
      <c r="E37" s="19"/>
      <c r="F37" s="19">
        <f>F6+F13+F20+F27+F35</f>
        <v>278990</v>
      </c>
      <c r="G37" s="1"/>
      <c r="K37" s="63" t="s">
        <v>141</v>
      </c>
      <c r="L37" s="65">
        <f>SUM(K6,K13,K20,K27,K35)</f>
        <v>150394</v>
      </c>
      <c r="M37" t="s">
        <v>146</v>
      </c>
      <c r="N37" s="65"/>
      <c r="O37" s="71">
        <f>L37/F41</f>
        <v>6836.090909090909</v>
      </c>
      <c r="P37" s="84" t="s">
        <v>152</v>
      </c>
      <c r="Q37" s="86">
        <f>SUM(Q5,Q12,Q19,Q30,Q31,Q32,Q33,Q34)</f>
        <v>17778</v>
      </c>
      <c r="R37" s="86">
        <f>SUM(R5,R12,R19,R30,R31,R32,R33,R34)</f>
        <v>47850</v>
      </c>
      <c r="S37" s="86">
        <f>SUM(S5,S12,S19,S30,S31,S32,S33,S34)</f>
        <v>30072</v>
      </c>
      <c r="U37" s="86">
        <f>SUM(U5,U12,U19,U30,U31,U32,U33,U34)</f>
        <v>17778</v>
      </c>
      <c r="V37" s="86">
        <f>SUM(V5,V12,V19,V30,V31,V32,V33,V34)</f>
        <v>47850</v>
      </c>
      <c r="W37" s="86">
        <f>SUM(W5,W12,W19,W30,W31,W32,W33,W34)</f>
        <v>30072</v>
      </c>
      <c r="Y37" s="86">
        <f>SUM(Y5,Y12,Y19,Y30,Y31,Y32,Y33,Y34)</f>
        <v>17778</v>
      </c>
      <c r="Z37" s="86">
        <f>SUM(Z5,Z12,Z19,Z30,Z31,Z32,Z33,Z34)</f>
        <v>47850</v>
      </c>
      <c r="AA37" s="86">
        <f>SUM(AA5,AA12,AA19,AA30,AA31,AA32,AA33,AA34)</f>
        <v>30072</v>
      </c>
    </row>
    <row r="38" spans="1:27">
      <c r="A38" s="7">
        <v>6</v>
      </c>
      <c r="B38" s="16" t="s">
        <v>46</v>
      </c>
      <c r="C38" s="7"/>
      <c r="D38" s="7"/>
      <c r="E38" s="7"/>
      <c r="F38" s="7">
        <f>F37*0.1</f>
        <v>27899</v>
      </c>
      <c r="G38" s="8"/>
      <c r="K38" s="63" t="s">
        <v>143</v>
      </c>
      <c r="L38" s="66">
        <f>F37-L37</f>
        <v>128596</v>
      </c>
      <c r="N38" s="66"/>
      <c r="P38" s="85" t="s">
        <v>153</v>
      </c>
      <c r="Q38" s="87">
        <f>SUM(Q4,Q16,Q17,Q18,Q23,Q24,Q25,Q26)</f>
        <v>5520</v>
      </c>
      <c r="R38" s="87">
        <f>SUM(R4,R16,R17,R18,R23,R24,R25,R26)</f>
        <v>11270</v>
      </c>
      <c r="S38" s="87">
        <f>SUM(S4,S16,S17,S18,S23,S24,S25,S26)</f>
        <v>5750</v>
      </c>
      <c r="U38" s="87">
        <f>SUM(U4,U16,U17,U18,U23,U24,U25,U26)</f>
        <v>82800</v>
      </c>
      <c r="V38" s="87">
        <f>SUM(V4,V16,V17,V18,V23,V24,V25,V26)</f>
        <v>169050</v>
      </c>
      <c r="W38" s="87">
        <f>SUM(W4,W16,W17,W18,W23,W24,W25,W26)</f>
        <v>86250</v>
      </c>
      <c r="Y38" s="87">
        <f>SUM(Y4,Y16,Y17,Y18,Y23,Y24,Y25,Y26)</f>
        <v>93840</v>
      </c>
      <c r="Z38" s="87">
        <f>SUM(Z4,Z16,Z17,Z18,Z23,Z24,Z25,Z26)</f>
        <v>191590</v>
      </c>
      <c r="AA38" s="87">
        <f>SUM(AA4,AA16,AA17,AA18,AA23,AA24,AA25,AA26)</f>
        <v>97750</v>
      </c>
    </row>
    <row r="39" spans="1:27">
      <c r="A39" s="12"/>
      <c r="B39" s="20" t="s">
        <v>47</v>
      </c>
      <c r="C39" s="21"/>
      <c r="D39" s="21"/>
      <c r="E39" s="21"/>
      <c r="F39" s="22">
        <f>SUM(F37:F38)</f>
        <v>306889</v>
      </c>
      <c r="G39" s="13"/>
      <c r="L39" s="67">
        <f>L38/F37</f>
        <v>0.46093408365891253</v>
      </c>
      <c r="N39" s="67"/>
      <c r="O39" s="88"/>
      <c r="P39" s="85" t="s">
        <v>154</v>
      </c>
      <c r="Q39" s="89">
        <f>SUM(Q9,Q10,Q11)</f>
        <v>9392</v>
      </c>
      <c r="R39" s="89">
        <f>SUM(R9,R10,R11)</f>
        <v>10200</v>
      </c>
      <c r="S39" s="89">
        <f>SUM(S9,S10)</f>
        <v>808</v>
      </c>
      <c r="U39" s="89">
        <f>SUM(U9,U10,U11)</f>
        <v>21584</v>
      </c>
      <c r="V39" s="89">
        <f>SUM(V9,V10,V11)</f>
        <v>23400</v>
      </c>
      <c r="W39" s="89">
        <f>SUM(W9,W10)</f>
        <v>1616</v>
      </c>
      <c r="Y39" s="89">
        <f>SUM(Y9,Y10,Y11)</f>
        <v>30976</v>
      </c>
      <c r="Z39" s="89">
        <f>SUM(Z9,Z10,Z11)</f>
        <v>33600</v>
      </c>
      <c r="AA39" s="89">
        <f>SUM(AA9,AA10)</f>
        <v>2424</v>
      </c>
    </row>
    <row r="40" spans="1:27">
      <c r="A40" s="5"/>
      <c r="B40" s="1"/>
      <c r="C40" s="5"/>
      <c r="D40" s="5"/>
      <c r="E40" s="5"/>
      <c r="F40" s="5"/>
      <c r="G40" s="1"/>
      <c r="K40" s="63" t="s">
        <v>143</v>
      </c>
      <c r="L40" s="68">
        <f>F39-L37</f>
        <v>156495</v>
      </c>
      <c r="N40" s="68"/>
      <c r="Q40" s="89">
        <f>SUM(Q37:Q39)</f>
        <v>32690</v>
      </c>
      <c r="R40" s="89">
        <f>SUM(R37:R39)</f>
        <v>69320</v>
      </c>
      <c r="S40" s="89">
        <f>SUM(S37:S39)</f>
        <v>36630</v>
      </c>
      <c r="U40" s="89">
        <f>SUM(U37:U39)</f>
        <v>122162</v>
      </c>
      <c r="V40" s="89">
        <f>SUM(V37:V39)</f>
        <v>240300</v>
      </c>
      <c r="W40" s="89">
        <f>SUM(W37:W39)</f>
        <v>117938</v>
      </c>
      <c r="Y40" s="89">
        <f>SUM(Y37:Y39)</f>
        <v>142594</v>
      </c>
      <c r="Z40" s="89">
        <f>SUM(Z37:Z39)</f>
        <v>273040</v>
      </c>
      <c r="AA40" s="89">
        <f>SUM(AA37:AA39)</f>
        <v>130246</v>
      </c>
    </row>
    <row r="41" spans="1:27">
      <c r="A41" s="14"/>
      <c r="B41" s="15" t="s">
        <v>48</v>
      </c>
      <c r="C41" s="14"/>
      <c r="D41" s="14"/>
      <c r="E41" s="14"/>
      <c r="F41" s="14">
        <v>22</v>
      </c>
      <c r="G41" s="15"/>
      <c r="L41" s="64">
        <f>L40/F39</f>
        <v>0.50994007605355685</v>
      </c>
      <c r="N41" s="64"/>
      <c r="P41" s="85" t="s">
        <v>141</v>
      </c>
      <c r="Q41" s="90">
        <f>SUM(Q6,Q13,Q20,Q27,Q35)</f>
        <v>32690</v>
      </c>
      <c r="R41" s="90">
        <f>SUM(R6,R13,R20,R27,R35)</f>
        <v>69320</v>
      </c>
      <c r="S41" s="90">
        <f>SUM(S6,S13,S20,S27,S35)</f>
        <v>36630</v>
      </c>
      <c r="U41" s="90">
        <f>SUM(U6,U13,U20,U27,U35)</f>
        <v>122162</v>
      </c>
      <c r="V41" s="90">
        <f>SUM(V6,V13,V20,V27,V35)</f>
        <v>240300</v>
      </c>
      <c r="W41" s="90">
        <f>SUM(W6,W13,W20,W27,W35)</f>
        <v>118138</v>
      </c>
      <c r="Y41" s="90">
        <f>SUM(Y6,Y13,Y20,Y27,Y35)</f>
        <v>142594</v>
      </c>
      <c r="Z41" s="90">
        <f>SUM(Z6,Z13,Z20,Z27,Z35)</f>
        <v>273040</v>
      </c>
      <c r="AA41" s="90">
        <f>SUM(AA6,AA13,AA20,AA27,AA35)</f>
        <v>130446</v>
      </c>
    </row>
    <row r="42" spans="1:27">
      <c r="A42" s="14"/>
      <c r="B42" s="15" t="s">
        <v>49</v>
      </c>
      <c r="C42" s="14"/>
      <c r="D42" s="14"/>
      <c r="E42" s="14"/>
      <c r="F42" s="14">
        <f>F39/F41</f>
        <v>13949.5</v>
      </c>
      <c r="G42" s="15"/>
      <c r="P42" s="63" t="s">
        <v>143</v>
      </c>
      <c r="R42" s="63"/>
      <c r="S42" s="64">
        <f>S41/R41</f>
        <v>0.52841892671667623</v>
      </c>
      <c r="V42" s="63"/>
      <c r="W42" s="64">
        <f>W41/V41</f>
        <v>0.49162713275072828</v>
      </c>
      <c r="Z42" s="63"/>
      <c r="AA42" s="64">
        <f>AA41/Z41</f>
        <v>0.47775417521242308</v>
      </c>
    </row>
    <row r="43" spans="1:27">
      <c r="A43" s="14"/>
      <c r="B43" s="15" t="s">
        <v>102</v>
      </c>
      <c r="C43" s="14"/>
      <c r="D43" s="14"/>
      <c r="E43" s="14"/>
      <c r="F43" s="14">
        <f>F42/3</f>
        <v>4649.833333333333</v>
      </c>
      <c r="G43" s="15"/>
      <c r="P43" s="97" t="s">
        <v>157</v>
      </c>
      <c r="Q43" s="95">
        <v>0.05</v>
      </c>
      <c r="R43" s="94"/>
      <c r="S43" s="61">
        <f>R41*$Q$43</f>
        <v>3466</v>
      </c>
      <c r="U43" s="95">
        <v>0.05</v>
      </c>
      <c r="V43" s="94"/>
      <c r="W43" s="61">
        <f>V41*$U$43</f>
        <v>12015</v>
      </c>
      <c r="Y43" s="95">
        <v>0.05</v>
      </c>
      <c r="Z43" s="94"/>
      <c r="AA43" s="61">
        <f>Z41*$Y$43</f>
        <v>13652</v>
      </c>
    </row>
    <row r="44" spans="1:27">
      <c r="P44" s="92" t="s">
        <v>158</v>
      </c>
      <c r="Q44" s="92"/>
      <c r="R44" s="93">
        <f>R41+S43</f>
        <v>72786</v>
      </c>
      <c r="U44" s="92"/>
      <c r="V44" s="93">
        <f>V41+W43</f>
        <v>252315</v>
      </c>
      <c r="Y44" s="92"/>
      <c r="Z44" s="93">
        <f>Z41+AA43</f>
        <v>286692</v>
      </c>
    </row>
    <row r="45" spans="1:27">
      <c r="M45" s="102"/>
      <c r="N45" s="103"/>
      <c r="O45" s="102"/>
      <c r="P45" s="105" t="s">
        <v>158</v>
      </c>
      <c r="Q45" s="105"/>
      <c r="R45" s="105">
        <f>CEILING(R44,100)</f>
        <v>72800</v>
      </c>
      <c r="S45" s="103"/>
      <c r="T45" s="102"/>
      <c r="U45" s="105"/>
      <c r="V45" s="105">
        <f>CEILING(V44,100)</f>
        <v>252400</v>
      </c>
      <c r="W45" s="103"/>
      <c r="X45" s="102"/>
      <c r="Y45" s="105"/>
      <c r="Z45" s="105">
        <f>CEILING(Z44,100)</f>
        <v>286700</v>
      </c>
      <c r="AA45" s="103"/>
    </row>
    <row r="46" spans="1:27">
      <c r="P46" s="63" t="s">
        <v>159</v>
      </c>
      <c r="R46" s="63"/>
      <c r="S46" s="96">
        <f>R45-Q41</f>
        <v>40110</v>
      </c>
      <c r="V46" s="63"/>
      <c r="W46" s="96">
        <f>V45-U41</f>
        <v>130238</v>
      </c>
      <c r="Z46" s="63"/>
      <c r="AA46" s="96">
        <f>Z45-Y41</f>
        <v>144106</v>
      </c>
    </row>
    <row r="47" spans="1:27">
      <c r="R47" s="96"/>
      <c r="S47" s="64">
        <f>S46/R45</f>
        <v>0.5509615384615385</v>
      </c>
      <c r="V47" s="96"/>
      <c r="W47" s="64">
        <f>W46/V45</f>
        <v>0.51599841521394607</v>
      </c>
      <c r="Z47" s="96"/>
      <c r="AA47" s="64">
        <f>AA46/Z45</f>
        <v>0.50263690268573424</v>
      </c>
    </row>
    <row r="48" spans="1:27">
      <c r="M48" s="102"/>
      <c r="N48" s="103"/>
      <c r="O48" s="102"/>
      <c r="P48" s="104" t="s">
        <v>160</v>
      </c>
      <c r="Q48" s="104"/>
      <c r="R48" s="103">
        <f>R45/Q3</f>
        <v>72800</v>
      </c>
      <c r="S48" s="103"/>
      <c r="T48" s="102"/>
      <c r="U48" s="104"/>
      <c r="V48" s="103">
        <f>V45/U3</f>
        <v>16826.666666666668</v>
      </c>
      <c r="W48" s="103"/>
      <c r="X48" s="102"/>
      <c r="Y48" s="104"/>
      <c r="Z48" s="103">
        <f>Z45/Y3</f>
        <v>16864.705882352941</v>
      </c>
      <c r="AA48" s="103"/>
    </row>
    <row r="49" spans="16:25">
      <c r="P49" s="91" t="s">
        <v>161</v>
      </c>
      <c r="Q49" s="61">
        <f>Q41/Q3</f>
        <v>32690</v>
      </c>
      <c r="U49" s="61">
        <f>U41/U3</f>
        <v>8144.1333333333332</v>
      </c>
      <c r="Y49" s="61">
        <f>Y41/Y3</f>
        <v>8387.8823529411766</v>
      </c>
    </row>
    <row r="54" spans="16:25">
      <c r="V54" s="144"/>
    </row>
  </sheetData>
  <autoFilter ref="P1:P49"/>
  <mergeCells count="1">
    <mergeCell ref="A1:G1"/>
  </mergeCells>
  <printOptions horizontalCentered="1"/>
  <pageMargins left="0.2" right="0.2" top="0.25" bottom="0" header="0.05" footer="0.05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58"/>
  <sheetViews>
    <sheetView topLeftCell="A25" workbookViewId="0">
      <selection activeCell="A4" sqref="A4"/>
    </sheetView>
  </sheetViews>
  <sheetFormatPr defaultRowHeight="24"/>
  <cols>
    <col min="1" max="1" width="12.42578125" style="23" customWidth="1"/>
    <col min="2" max="2" width="57.28515625" style="23" customWidth="1"/>
    <col min="3" max="3" width="26.140625" style="23" customWidth="1"/>
    <col min="4" max="16384" width="9.140625" style="23"/>
  </cols>
  <sheetData>
    <row r="1" spans="1:3">
      <c r="A1" s="142" t="s">
        <v>104</v>
      </c>
      <c r="B1" s="142"/>
      <c r="C1" s="142"/>
    </row>
    <row r="2" spans="1:3">
      <c r="A2" s="142" t="s">
        <v>105</v>
      </c>
      <c r="B2" s="142"/>
      <c r="C2" s="142"/>
    </row>
    <row r="3" spans="1:3">
      <c r="A3" s="141" t="s">
        <v>139</v>
      </c>
      <c r="B3" s="141"/>
      <c r="C3" s="141"/>
    </row>
    <row r="4" spans="1:3">
      <c r="A4" s="57" t="s">
        <v>54</v>
      </c>
      <c r="B4" s="57" t="s">
        <v>55</v>
      </c>
      <c r="C4" s="57" t="s">
        <v>56</v>
      </c>
    </row>
    <row r="5" spans="1:3">
      <c r="A5" s="24" t="s">
        <v>106</v>
      </c>
      <c r="B5" s="25"/>
      <c r="C5" s="25"/>
    </row>
    <row r="6" spans="1:3">
      <c r="A6" s="26">
        <v>0.37152777777777773</v>
      </c>
      <c r="B6" s="27" t="s">
        <v>84</v>
      </c>
      <c r="C6" s="47" t="s">
        <v>85</v>
      </c>
    </row>
    <row r="7" spans="1:3" ht="87">
      <c r="A7" s="26">
        <v>0.3888888888888889</v>
      </c>
      <c r="B7" s="27" t="s">
        <v>86</v>
      </c>
      <c r="C7" s="48" t="s">
        <v>108</v>
      </c>
    </row>
    <row r="8" spans="1:3">
      <c r="A8" s="28">
        <v>0.5</v>
      </c>
      <c r="B8" s="29" t="s">
        <v>107</v>
      </c>
      <c r="C8" s="48"/>
    </row>
    <row r="9" spans="1:3">
      <c r="A9" s="30">
        <v>0.54166666666666663</v>
      </c>
      <c r="B9" s="27" t="s">
        <v>59</v>
      </c>
      <c r="C9" s="31"/>
    </row>
    <row r="10" spans="1:3">
      <c r="A10" s="30">
        <v>0.60416666666666663</v>
      </c>
      <c r="B10" s="27" t="s">
        <v>88</v>
      </c>
      <c r="C10" s="31"/>
    </row>
    <row r="11" spans="1:3" ht="48">
      <c r="A11" s="32">
        <v>0.625</v>
      </c>
      <c r="B11" s="27" t="s">
        <v>60</v>
      </c>
      <c r="C11" s="33"/>
    </row>
    <row r="12" spans="1:3">
      <c r="A12" s="34">
        <v>0.75</v>
      </c>
      <c r="B12" s="35" t="s">
        <v>61</v>
      </c>
      <c r="C12" s="36" t="s">
        <v>109</v>
      </c>
    </row>
    <row r="13" spans="1:3">
      <c r="A13" s="30"/>
      <c r="B13" s="27"/>
      <c r="C13" s="31"/>
    </row>
    <row r="14" spans="1:3">
      <c r="A14" s="24" t="s">
        <v>111</v>
      </c>
      <c r="B14" s="37"/>
      <c r="C14" s="24"/>
    </row>
    <row r="15" spans="1:3">
      <c r="A15" s="34">
        <v>0.29166666666666669</v>
      </c>
      <c r="B15" s="35" t="s">
        <v>64</v>
      </c>
      <c r="C15" s="36" t="s">
        <v>109</v>
      </c>
    </row>
    <row r="16" spans="1:3">
      <c r="A16" s="30">
        <v>0.35416666666666669</v>
      </c>
      <c r="B16" s="27" t="s">
        <v>65</v>
      </c>
      <c r="C16" s="31"/>
    </row>
    <row r="17" spans="1:3" ht="48">
      <c r="A17" s="30">
        <v>0.375</v>
      </c>
      <c r="B17" s="27" t="s">
        <v>89</v>
      </c>
      <c r="C17" s="33"/>
    </row>
    <row r="18" spans="1:3" ht="48">
      <c r="A18" s="30">
        <v>0.41666666666666669</v>
      </c>
      <c r="B18" s="27" t="s">
        <v>90</v>
      </c>
      <c r="C18" s="33"/>
    </row>
    <row r="19" spans="1:3">
      <c r="A19" s="30">
        <v>0.45833333333333331</v>
      </c>
      <c r="B19" s="27" t="s">
        <v>91</v>
      </c>
      <c r="C19" s="33"/>
    </row>
    <row r="20" spans="1:3">
      <c r="A20" s="34">
        <v>0.5</v>
      </c>
      <c r="B20" s="39" t="s">
        <v>110</v>
      </c>
      <c r="C20" s="36" t="s">
        <v>109</v>
      </c>
    </row>
    <row r="21" spans="1:3" ht="48">
      <c r="A21" s="30">
        <v>0.54166666666666663</v>
      </c>
      <c r="B21" s="27" t="s">
        <v>92</v>
      </c>
      <c r="C21" s="27"/>
    </row>
    <row r="22" spans="1:3">
      <c r="A22" s="30">
        <v>0.60416666666666663</v>
      </c>
      <c r="B22" s="27" t="s">
        <v>67</v>
      </c>
      <c r="C22" s="31"/>
    </row>
    <row r="23" spans="1:3" ht="51.75" customHeight="1">
      <c r="A23" s="30">
        <v>0.64583333333333337</v>
      </c>
      <c r="B23" s="27" t="s">
        <v>93</v>
      </c>
      <c r="C23" s="33"/>
    </row>
    <row r="24" spans="1:3">
      <c r="A24" s="30">
        <v>0.70833333333333337</v>
      </c>
      <c r="B24" s="27" t="s">
        <v>68</v>
      </c>
      <c r="C24" s="31"/>
    </row>
    <row r="25" spans="1:3">
      <c r="A25" s="34">
        <v>0.75</v>
      </c>
      <c r="B25" s="35" t="s">
        <v>61</v>
      </c>
      <c r="C25" s="36" t="s">
        <v>109</v>
      </c>
    </row>
    <row r="26" spans="1:3">
      <c r="A26" s="30"/>
      <c r="B26" s="27"/>
      <c r="C26" s="31"/>
    </row>
    <row r="27" spans="1:3">
      <c r="A27" s="24" t="s">
        <v>112</v>
      </c>
      <c r="B27" s="37"/>
      <c r="C27" s="24"/>
    </row>
    <row r="28" spans="1:3">
      <c r="A28" s="34">
        <v>0.29166666666666669</v>
      </c>
      <c r="B28" s="35" t="s">
        <v>64</v>
      </c>
      <c r="C28" s="36" t="s">
        <v>109</v>
      </c>
    </row>
    <row r="29" spans="1:3" ht="48">
      <c r="A29" s="30">
        <v>0.36458333333333331</v>
      </c>
      <c r="B29" s="27" t="s">
        <v>71</v>
      </c>
      <c r="C29" s="31"/>
    </row>
    <row r="30" spans="1:3" ht="48">
      <c r="A30" s="30">
        <v>0.38541666666666669</v>
      </c>
      <c r="B30" s="29" t="s">
        <v>72</v>
      </c>
      <c r="C30" s="44"/>
    </row>
    <row r="31" spans="1:3">
      <c r="A31" s="30">
        <v>0.42708333333333331</v>
      </c>
      <c r="B31" s="27" t="s">
        <v>70</v>
      </c>
      <c r="C31" s="27"/>
    </row>
    <row r="32" spans="1:3">
      <c r="A32" s="30">
        <v>0.44444444444444442</v>
      </c>
      <c r="B32" s="27" t="s">
        <v>113</v>
      </c>
      <c r="C32" s="31"/>
    </row>
    <row r="33" spans="1:3">
      <c r="A33" s="34">
        <v>0.5</v>
      </c>
      <c r="B33" s="39" t="s">
        <v>73</v>
      </c>
      <c r="C33" s="38"/>
    </row>
    <row r="34" spans="1:3" ht="48">
      <c r="A34" s="30">
        <v>0.5625</v>
      </c>
      <c r="B34" s="27" t="s">
        <v>95</v>
      </c>
      <c r="C34" s="33"/>
    </row>
    <row r="35" spans="1:3">
      <c r="A35" s="30">
        <v>0.6875</v>
      </c>
      <c r="B35" s="27" t="s">
        <v>74</v>
      </c>
      <c r="C35" s="31"/>
    </row>
    <row r="36" spans="1:3">
      <c r="A36" s="30">
        <v>0.72916666666666663</v>
      </c>
      <c r="B36" s="27" t="s">
        <v>75</v>
      </c>
      <c r="C36" s="31"/>
    </row>
    <row r="37" spans="1:3">
      <c r="A37" s="34">
        <v>0.72916666666666663</v>
      </c>
      <c r="B37" s="35" t="s">
        <v>76</v>
      </c>
      <c r="C37" s="38"/>
    </row>
    <row r="38" spans="1:3">
      <c r="A38" s="30">
        <v>0.79166666666666663</v>
      </c>
      <c r="B38" s="27" t="s">
        <v>77</v>
      </c>
      <c r="C38" s="31"/>
    </row>
    <row r="39" spans="1:3">
      <c r="A39" s="30">
        <v>0.83333333333333337</v>
      </c>
      <c r="B39" s="27" t="s">
        <v>114</v>
      </c>
      <c r="C39" s="31"/>
    </row>
    <row r="40" spans="1:3">
      <c r="A40" s="30"/>
      <c r="B40" s="27"/>
      <c r="C40" s="31"/>
    </row>
    <row r="41" spans="1:3">
      <c r="A41" s="24" t="s">
        <v>115</v>
      </c>
      <c r="B41" s="37"/>
      <c r="C41" s="24"/>
    </row>
    <row r="42" spans="1:3">
      <c r="A42" s="34">
        <v>0.29166666666666669</v>
      </c>
      <c r="B42" s="35" t="s">
        <v>64</v>
      </c>
      <c r="C42" s="38"/>
    </row>
    <row r="43" spans="1:3">
      <c r="A43" s="26">
        <v>0.35416666666666669</v>
      </c>
      <c r="B43" s="33" t="s">
        <v>119</v>
      </c>
      <c r="C43" s="31"/>
    </row>
    <row r="44" spans="1:3">
      <c r="A44" s="26"/>
      <c r="B44" s="33" t="s">
        <v>120</v>
      </c>
      <c r="C44" s="31" t="s">
        <v>122</v>
      </c>
    </row>
    <row r="45" spans="1:3">
      <c r="A45" s="31"/>
      <c r="B45" s="58" t="s">
        <v>116</v>
      </c>
      <c r="C45" s="31"/>
    </row>
    <row r="46" spans="1:3">
      <c r="A46" s="31"/>
      <c r="B46" s="58" t="s">
        <v>117</v>
      </c>
      <c r="C46" s="31"/>
    </row>
    <row r="47" spans="1:3">
      <c r="A47" s="31"/>
      <c r="B47" s="58" t="s">
        <v>118</v>
      </c>
      <c r="C47" s="31"/>
    </row>
    <row r="48" spans="1:3" ht="48">
      <c r="A48" s="31"/>
      <c r="B48" s="59" t="s">
        <v>121</v>
      </c>
      <c r="C48" s="31"/>
    </row>
    <row r="49" spans="1:3">
      <c r="A49" s="31"/>
      <c r="B49" s="31"/>
      <c r="C49" s="31"/>
    </row>
    <row r="50" spans="1:3">
      <c r="A50" s="24" t="s">
        <v>123</v>
      </c>
      <c r="B50" s="37"/>
      <c r="C50" s="24"/>
    </row>
    <row r="51" spans="1:3">
      <c r="A51" s="34">
        <v>0.29166666666666669</v>
      </c>
      <c r="B51" s="35" t="s">
        <v>64</v>
      </c>
      <c r="C51" s="38"/>
    </row>
    <row r="52" spans="1:3">
      <c r="A52" s="26">
        <v>0.35416666666666669</v>
      </c>
      <c r="B52" s="33" t="s">
        <v>119</v>
      </c>
      <c r="C52" s="31"/>
    </row>
    <row r="53" spans="1:3">
      <c r="A53" s="26"/>
      <c r="B53" s="33" t="s">
        <v>120</v>
      </c>
      <c r="C53" s="31" t="s">
        <v>125</v>
      </c>
    </row>
    <row r="54" spans="1:3" ht="21.75" customHeight="1">
      <c r="A54" s="31"/>
      <c r="B54" s="58" t="s">
        <v>116</v>
      </c>
      <c r="C54" s="31"/>
    </row>
    <row r="55" spans="1:3" ht="22.5" customHeight="1">
      <c r="A55" s="31"/>
      <c r="B55" s="58" t="s">
        <v>117</v>
      </c>
      <c r="C55" s="31"/>
    </row>
    <row r="56" spans="1:3" ht="22.5" customHeight="1">
      <c r="A56" s="31"/>
      <c r="B56" s="58" t="s">
        <v>118</v>
      </c>
      <c r="C56" s="31"/>
    </row>
    <row r="57" spans="1:3" ht="48">
      <c r="A57" s="31"/>
      <c r="B57" s="59" t="s">
        <v>121</v>
      </c>
      <c r="C57" s="31"/>
    </row>
    <row r="58" spans="1:3" ht="47.25" customHeight="1">
      <c r="A58" s="50">
        <v>0.72916666666666663</v>
      </c>
      <c r="B58" s="33" t="s">
        <v>124</v>
      </c>
      <c r="C58" s="31" t="s">
        <v>85</v>
      </c>
    </row>
  </sheetData>
  <mergeCells count="3">
    <mergeCell ref="A1:C1"/>
    <mergeCell ref="A2:C2"/>
    <mergeCell ref="A3:C3"/>
  </mergeCells>
  <printOptions horizontalCentered="1"/>
  <pageMargins left="0.2" right="0.2" top="0.25" bottom="0.25" header="0.05" footer="0.05"/>
  <pageSetup paperSize="9" scale="9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35"/>
  <sheetViews>
    <sheetView topLeftCell="B1" zoomScale="90" zoomScaleNormal="90" workbookViewId="0">
      <selection activeCell="O29" sqref="O29"/>
    </sheetView>
  </sheetViews>
  <sheetFormatPr defaultRowHeight="15"/>
  <cols>
    <col min="1" max="1" width="5.42578125" style="4" customWidth="1"/>
    <col min="2" max="2" width="41.7109375" customWidth="1"/>
    <col min="3" max="3" width="14.7109375" style="4" customWidth="1"/>
    <col min="4" max="4" width="15.7109375" style="4" customWidth="1"/>
    <col min="5" max="5" width="11.5703125" style="4" customWidth="1"/>
    <col min="6" max="6" width="14.7109375" style="4" customWidth="1"/>
    <col min="7" max="7" width="40" customWidth="1"/>
    <col min="12" max="12" width="11.140625" bestFit="1" customWidth="1"/>
    <col min="15" max="15" width="10" bestFit="1" customWidth="1"/>
  </cols>
  <sheetData>
    <row r="1" spans="1:13" ht="15.75">
      <c r="A1" s="143" t="s">
        <v>97</v>
      </c>
      <c r="B1" s="143"/>
      <c r="C1" s="143"/>
      <c r="D1" s="143"/>
      <c r="E1" s="143"/>
      <c r="F1" s="143"/>
      <c r="G1" s="143"/>
    </row>
    <row r="2" spans="1:13">
      <c r="B2" t="s">
        <v>135</v>
      </c>
      <c r="J2" s="61"/>
      <c r="K2" s="61"/>
      <c r="L2" s="61"/>
    </row>
    <row r="3" spans="1:13">
      <c r="A3" s="7">
        <v>1</v>
      </c>
      <c r="B3" s="16" t="s">
        <v>15</v>
      </c>
      <c r="C3" s="7" t="s">
        <v>3</v>
      </c>
      <c r="D3" s="7" t="s">
        <v>4</v>
      </c>
      <c r="E3" s="9" t="s">
        <v>50</v>
      </c>
      <c r="F3" s="7" t="s">
        <v>0</v>
      </c>
      <c r="G3" s="7" t="s">
        <v>5</v>
      </c>
      <c r="J3" s="61" t="s">
        <v>140</v>
      </c>
      <c r="K3" s="61" t="s">
        <v>141</v>
      </c>
      <c r="L3" s="61" t="s">
        <v>142</v>
      </c>
    </row>
    <row r="4" spans="1:13">
      <c r="A4" s="5">
        <v>1.1000000000000001</v>
      </c>
      <c r="B4" s="1" t="s">
        <v>98</v>
      </c>
      <c r="C4" s="5">
        <v>4</v>
      </c>
      <c r="D4" s="5">
        <v>4</v>
      </c>
      <c r="E4" s="5">
        <v>2800</v>
      </c>
      <c r="F4" s="5">
        <f>C4*D4*E4</f>
        <v>44800</v>
      </c>
      <c r="G4" s="5" t="s">
        <v>136</v>
      </c>
      <c r="J4" s="61">
        <v>1100</v>
      </c>
      <c r="K4" s="61">
        <f>C4*D4*J4</f>
        <v>17600</v>
      </c>
      <c r="L4" s="61">
        <f>F4-K4</f>
        <v>27200</v>
      </c>
    </row>
    <row r="5" spans="1:13">
      <c r="A5" s="10"/>
      <c r="B5" s="3" t="s">
        <v>13</v>
      </c>
      <c r="C5" s="10"/>
      <c r="D5" s="10"/>
      <c r="E5" s="10"/>
      <c r="F5" s="17">
        <f>SUM(F4:F4)</f>
        <v>44800</v>
      </c>
      <c r="G5" s="11"/>
      <c r="K5" s="70">
        <f>SUM(K4)</f>
        <v>17600</v>
      </c>
      <c r="L5" s="70">
        <f>SUM(L4)</f>
        <v>27200</v>
      </c>
    </row>
    <row r="6" spans="1:13">
      <c r="A6" s="5"/>
      <c r="B6" s="1"/>
      <c r="C6" s="5"/>
      <c r="D6" s="5"/>
      <c r="E6" s="5"/>
      <c r="F6" s="5"/>
      <c r="G6" s="1"/>
    </row>
    <row r="7" spans="1:13">
      <c r="A7" s="7">
        <v>2</v>
      </c>
      <c r="B7" s="16" t="s">
        <v>7</v>
      </c>
      <c r="C7" s="7" t="s">
        <v>1</v>
      </c>
      <c r="D7" s="7" t="s">
        <v>2</v>
      </c>
      <c r="E7" s="7" t="s">
        <v>6</v>
      </c>
      <c r="F7" s="7" t="s">
        <v>0</v>
      </c>
      <c r="G7" s="8"/>
    </row>
    <row r="8" spans="1:13">
      <c r="A8" s="5">
        <v>2.1</v>
      </c>
      <c r="B8" s="1" t="s">
        <v>8</v>
      </c>
      <c r="C8" s="5">
        <v>1</v>
      </c>
      <c r="D8" s="5">
        <v>5</v>
      </c>
      <c r="E8" s="5">
        <v>2800</v>
      </c>
      <c r="F8" s="5">
        <f>C8*D8*E8</f>
        <v>14000</v>
      </c>
      <c r="G8" s="1"/>
      <c r="J8" s="61">
        <v>2664</v>
      </c>
      <c r="K8" s="61">
        <f t="shared" ref="K8:K9" si="0">C8*D8*J8</f>
        <v>13320</v>
      </c>
      <c r="L8" s="61">
        <f t="shared" ref="L8:L9" si="1">F8-K8</f>
        <v>680</v>
      </c>
    </row>
    <row r="9" spans="1:13">
      <c r="A9" s="5">
        <v>2.4</v>
      </c>
      <c r="B9" s="1" t="s">
        <v>19</v>
      </c>
      <c r="C9" s="5">
        <v>1</v>
      </c>
      <c r="D9" s="5">
        <v>2</v>
      </c>
      <c r="E9" s="5">
        <v>700</v>
      </c>
      <c r="F9" s="5">
        <f>C9*D9*E9</f>
        <v>1400</v>
      </c>
      <c r="G9" s="1" t="s">
        <v>101</v>
      </c>
      <c r="J9" s="61">
        <v>2664</v>
      </c>
      <c r="K9" s="61">
        <f t="shared" si="0"/>
        <v>5328</v>
      </c>
      <c r="L9" s="61">
        <f t="shared" si="1"/>
        <v>-3928</v>
      </c>
      <c r="M9" t="s">
        <v>144</v>
      </c>
    </row>
    <row r="10" spans="1:13">
      <c r="A10" s="10"/>
      <c r="B10" s="3" t="s">
        <v>14</v>
      </c>
      <c r="C10" s="10"/>
      <c r="D10" s="10"/>
      <c r="E10" s="10"/>
      <c r="F10" s="17">
        <f>SUM(F8:F9)</f>
        <v>15400</v>
      </c>
      <c r="G10" s="11"/>
      <c r="K10" s="70">
        <f>SUM(K8:K9)</f>
        <v>18648</v>
      </c>
      <c r="L10" s="70">
        <f>SUM(L8:L9)</f>
        <v>-3248</v>
      </c>
    </row>
    <row r="11" spans="1:13">
      <c r="A11" s="5"/>
      <c r="B11" s="1"/>
      <c r="C11" s="5"/>
      <c r="D11" s="5"/>
      <c r="E11" s="5"/>
      <c r="F11" s="5"/>
      <c r="G11" s="1"/>
    </row>
    <row r="12" spans="1:13">
      <c r="A12" s="7">
        <v>3</v>
      </c>
      <c r="B12" s="16" t="s">
        <v>18</v>
      </c>
      <c r="C12" s="7" t="s">
        <v>22</v>
      </c>
      <c r="D12" s="7" t="s">
        <v>23</v>
      </c>
      <c r="E12" s="7" t="s">
        <v>6</v>
      </c>
      <c r="F12" s="7" t="s">
        <v>0</v>
      </c>
      <c r="G12" s="8"/>
    </row>
    <row r="13" spans="1:13" ht="30">
      <c r="A13" s="5">
        <v>3.2</v>
      </c>
      <c r="B13" s="1" t="s">
        <v>99</v>
      </c>
      <c r="C13" s="5">
        <v>5</v>
      </c>
      <c r="D13" s="5">
        <v>8</v>
      </c>
      <c r="E13" s="5">
        <v>250</v>
      </c>
      <c r="F13" s="5">
        <f>C13*D13*E13</f>
        <v>10000</v>
      </c>
      <c r="G13" s="2" t="s">
        <v>137</v>
      </c>
      <c r="J13">
        <f>E13*80%</f>
        <v>200</v>
      </c>
      <c r="K13" s="61">
        <f t="shared" ref="K13" si="2">C13*D13*J13</f>
        <v>8000</v>
      </c>
      <c r="L13" s="61">
        <f t="shared" ref="L13" si="3">F13-K13</f>
        <v>2000</v>
      </c>
    </row>
    <row r="14" spans="1:13">
      <c r="A14" s="10"/>
      <c r="B14" s="3" t="s">
        <v>28</v>
      </c>
      <c r="C14" s="10"/>
      <c r="D14" s="10"/>
      <c r="E14" s="10"/>
      <c r="F14" s="17">
        <f>SUM(F13:F13)</f>
        <v>10000</v>
      </c>
      <c r="G14" s="11"/>
      <c r="K14" s="70">
        <f>SUM(K13)</f>
        <v>8000</v>
      </c>
      <c r="L14" s="70">
        <f>SUM(L13)</f>
        <v>2000</v>
      </c>
    </row>
    <row r="15" spans="1:13">
      <c r="A15" s="5"/>
      <c r="B15" s="1"/>
      <c r="C15" s="5"/>
      <c r="D15" s="5"/>
      <c r="E15" s="5"/>
      <c r="F15" s="5"/>
      <c r="G15" s="1"/>
    </row>
    <row r="16" spans="1:13">
      <c r="A16" s="7">
        <v>4</v>
      </c>
      <c r="B16" s="16" t="s">
        <v>29</v>
      </c>
      <c r="C16" s="7" t="s">
        <v>22</v>
      </c>
      <c r="D16" s="7" t="s">
        <v>2</v>
      </c>
      <c r="E16" s="7" t="s">
        <v>6</v>
      </c>
      <c r="F16" s="7" t="s">
        <v>0</v>
      </c>
      <c r="G16" s="8"/>
    </row>
    <row r="17" spans="1:15">
      <c r="A17" s="5">
        <v>4.0999999999999996</v>
      </c>
      <c r="B17" s="2" t="s">
        <v>52</v>
      </c>
      <c r="C17" s="5">
        <v>5</v>
      </c>
      <c r="D17" s="5">
        <v>1</v>
      </c>
      <c r="E17" s="6">
        <v>220</v>
      </c>
      <c r="F17" s="5">
        <f>C17*D17*E17</f>
        <v>1100</v>
      </c>
      <c r="G17" s="1" t="s">
        <v>30</v>
      </c>
      <c r="J17" s="61">
        <v>190</v>
      </c>
      <c r="K17" s="61">
        <f t="shared" ref="K17:K20" si="4">C17*D17*J17</f>
        <v>950</v>
      </c>
      <c r="L17" s="61">
        <f t="shared" ref="L17:L21" si="5">F17-K17</f>
        <v>150</v>
      </c>
    </row>
    <row r="18" spans="1:15">
      <c r="A18" s="5">
        <v>4.2</v>
      </c>
      <c r="B18" s="1" t="s">
        <v>31</v>
      </c>
      <c r="C18" s="5">
        <v>5</v>
      </c>
      <c r="D18" s="5">
        <v>1</v>
      </c>
      <c r="E18" s="5">
        <v>100</v>
      </c>
      <c r="F18" s="5">
        <f t="shared" ref="F18:F20" si="6">C18*D18*E18</f>
        <v>500</v>
      </c>
      <c r="G18" s="1"/>
      <c r="J18" s="61">
        <v>50</v>
      </c>
      <c r="K18" s="61">
        <f t="shared" si="4"/>
        <v>250</v>
      </c>
      <c r="L18" s="61">
        <f t="shared" si="5"/>
        <v>250</v>
      </c>
    </row>
    <row r="19" spans="1:15">
      <c r="A19" s="5">
        <v>4.3</v>
      </c>
      <c r="B19" s="1" t="s">
        <v>32</v>
      </c>
      <c r="C19" s="5">
        <v>5</v>
      </c>
      <c r="D19" s="5">
        <v>1</v>
      </c>
      <c r="E19" s="5">
        <v>250</v>
      </c>
      <c r="F19" s="5">
        <f t="shared" si="6"/>
        <v>1250</v>
      </c>
      <c r="G19" s="1"/>
      <c r="J19" s="61">
        <v>150</v>
      </c>
      <c r="K19" s="61">
        <f t="shared" si="4"/>
        <v>750</v>
      </c>
      <c r="L19" s="61">
        <f t="shared" si="5"/>
        <v>500</v>
      </c>
    </row>
    <row r="20" spans="1:15">
      <c r="A20" s="5">
        <v>4.4000000000000004</v>
      </c>
      <c r="B20" s="1" t="s">
        <v>33</v>
      </c>
      <c r="C20" s="5">
        <v>5</v>
      </c>
      <c r="D20" s="5">
        <v>1</v>
      </c>
      <c r="E20" s="5">
        <v>150</v>
      </c>
      <c r="F20" s="5">
        <f t="shared" si="6"/>
        <v>750</v>
      </c>
      <c r="G20" s="1"/>
      <c r="J20" s="61">
        <v>90</v>
      </c>
      <c r="K20" s="61">
        <f t="shared" si="4"/>
        <v>450</v>
      </c>
      <c r="L20" s="61">
        <f t="shared" si="5"/>
        <v>300</v>
      </c>
    </row>
    <row r="21" spans="1:15">
      <c r="A21" s="10"/>
      <c r="B21" s="3" t="s">
        <v>34</v>
      </c>
      <c r="C21" s="10"/>
      <c r="D21" s="10"/>
      <c r="E21" s="10"/>
      <c r="F21" s="17">
        <f>SUM(F17:F20)</f>
        <v>3600</v>
      </c>
      <c r="G21" s="11"/>
      <c r="K21" s="70">
        <f>SUM(K17:K20)</f>
        <v>2400</v>
      </c>
      <c r="L21" s="69">
        <f t="shared" si="5"/>
        <v>1200</v>
      </c>
    </row>
    <row r="22" spans="1:15">
      <c r="A22" s="5"/>
      <c r="B22" s="1"/>
      <c r="C22" s="5"/>
      <c r="D22" s="5"/>
      <c r="E22" s="5"/>
      <c r="F22" s="5"/>
      <c r="G22" s="1"/>
    </row>
    <row r="23" spans="1:15">
      <c r="A23" s="7">
        <v>5</v>
      </c>
      <c r="B23" s="16" t="s">
        <v>35</v>
      </c>
      <c r="C23" s="7" t="s">
        <v>22</v>
      </c>
      <c r="D23" s="7" t="s">
        <v>2</v>
      </c>
      <c r="E23" s="7" t="s">
        <v>6</v>
      </c>
      <c r="F23" s="7" t="s">
        <v>0</v>
      </c>
      <c r="G23" s="8"/>
    </row>
    <row r="24" spans="1:15">
      <c r="A24" s="5">
        <v>5.0999999999999996</v>
      </c>
      <c r="B24" s="1" t="s">
        <v>36</v>
      </c>
      <c r="C24" s="5">
        <v>1</v>
      </c>
      <c r="D24" s="5">
        <v>1</v>
      </c>
      <c r="E24" s="5">
        <v>500</v>
      </c>
      <c r="F24" s="5">
        <f>C24*D24*E24</f>
        <v>500</v>
      </c>
      <c r="G24" s="1"/>
      <c r="J24">
        <v>500</v>
      </c>
      <c r="K24" s="61">
        <f t="shared" ref="K24" si="7">C24*D24*J24</f>
        <v>500</v>
      </c>
      <c r="L24" s="61">
        <f t="shared" ref="L24" si="8">F24-K24</f>
        <v>0</v>
      </c>
    </row>
    <row r="25" spans="1:15">
      <c r="A25" s="5">
        <v>5.3</v>
      </c>
      <c r="B25" s="1" t="s">
        <v>39</v>
      </c>
      <c r="C25" s="5">
        <v>1</v>
      </c>
      <c r="D25" s="5">
        <v>0.5</v>
      </c>
      <c r="E25" s="5">
        <v>5000</v>
      </c>
      <c r="F25" s="5">
        <f t="shared" ref="F25:F26" si="9">C25*D25*E25</f>
        <v>2500</v>
      </c>
      <c r="G25" s="1" t="s">
        <v>41</v>
      </c>
      <c r="J25">
        <v>0</v>
      </c>
      <c r="K25" s="61">
        <f t="shared" ref="K25:K26" si="10">C25*D25*J25</f>
        <v>0</v>
      </c>
      <c r="L25" s="61">
        <f t="shared" ref="L25:L26" si="11">F25-K25</f>
        <v>2500</v>
      </c>
    </row>
    <row r="26" spans="1:15">
      <c r="A26" s="5">
        <v>5.4</v>
      </c>
      <c r="B26" s="1" t="s">
        <v>42</v>
      </c>
      <c r="C26" s="5">
        <v>4</v>
      </c>
      <c r="D26" s="5">
        <v>0.5</v>
      </c>
      <c r="E26" s="5">
        <v>3000</v>
      </c>
      <c r="F26" s="5">
        <f t="shared" si="9"/>
        <v>6000</v>
      </c>
      <c r="G26" s="2" t="s">
        <v>103</v>
      </c>
      <c r="J26">
        <v>0</v>
      </c>
      <c r="K26" s="61">
        <f t="shared" si="10"/>
        <v>0</v>
      </c>
      <c r="L26" s="61">
        <f t="shared" si="11"/>
        <v>6000</v>
      </c>
    </row>
    <row r="27" spans="1:15">
      <c r="A27" s="10"/>
      <c r="B27" s="3" t="s">
        <v>44</v>
      </c>
      <c r="C27" s="10"/>
      <c r="D27" s="10"/>
      <c r="E27" s="10"/>
      <c r="F27" s="17">
        <f>SUM(F24:F26)</f>
        <v>9000</v>
      </c>
      <c r="G27" s="11"/>
      <c r="K27" s="70">
        <f>SUM(K24:K26)</f>
        <v>500</v>
      </c>
      <c r="L27" s="70">
        <f>SUM(L24:L26)</f>
        <v>8500</v>
      </c>
    </row>
    <row r="28" spans="1:15">
      <c r="A28" s="5"/>
      <c r="B28" s="1"/>
      <c r="C28" s="5"/>
      <c r="D28" s="5"/>
      <c r="E28" s="5"/>
      <c r="F28" s="5"/>
      <c r="G28" s="1"/>
    </row>
    <row r="29" spans="1:15">
      <c r="A29" s="5"/>
      <c r="B29" s="18" t="s">
        <v>45</v>
      </c>
      <c r="C29" s="19"/>
      <c r="D29" s="19"/>
      <c r="E29" s="19"/>
      <c r="F29" s="19">
        <f>F5+F10+F14+F21+F27</f>
        <v>82800</v>
      </c>
      <c r="G29" s="1"/>
      <c r="K29" s="63" t="s">
        <v>141</v>
      </c>
      <c r="L29" s="72">
        <f>SUM(K5,K10,K14,K21,K27)</f>
        <v>47148</v>
      </c>
      <c r="M29" t="s">
        <v>145</v>
      </c>
      <c r="O29" s="71">
        <f>L29/F33</f>
        <v>9429.6</v>
      </c>
    </row>
    <row r="30" spans="1:15">
      <c r="A30" s="7">
        <v>6</v>
      </c>
      <c r="B30" s="16" t="s">
        <v>46</v>
      </c>
      <c r="C30" s="7"/>
      <c r="D30" s="7"/>
      <c r="E30" s="7"/>
      <c r="F30" s="7">
        <f>F29*0.1</f>
        <v>8280</v>
      </c>
      <c r="G30" s="8"/>
      <c r="K30" s="63" t="s">
        <v>143</v>
      </c>
      <c r="L30" s="72">
        <f>F29-L29</f>
        <v>35652</v>
      </c>
    </row>
    <row r="31" spans="1:15" ht="15.75">
      <c r="A31" s="12"/>
      <c r="B31" s="20" t="s">
        <v>47</v>
      </c>
      <c r="C31" s="21"/>
      <c r="D31" s="21"/>
      <c r="E31" s="21"/>
      <c r="F31" s="49">
        <f>SUM(F29:F30)</f>
        <v>91080</v>
      </c>
      <c r="G31" s="13"/>
      <c r="K31" s="61"/>
      <c r="L31" s="64">
        <f>L30/F29</f>
        <v>0.43057971014492752</v>
      </c>
    </row>
    <row r="32" spans="1:15">
      <c r="A32" s="5"/>
      <c r="B32" s="1"/>
      <c r="C32" s="5"/>
      <c r="D32" s="5"/>
      <c r="E32" s="5"/>
      <c r="F32" s="5"/>
      <c r="G32" s="1"/>
      <c r="K32" s="63" t="s">
        <v>143</v>
      </c>
      <c r="L32" s="72">
        <f>F31-L29</f>
        <v>43932</v>
      </c>
    </row>
    <row r="33" spans="1:12">
      <c r="A33" s="14"/>
      <c r="B33" s="15" t="s">
        <v>48</v>
      </c>
      <c r="C33" s="14"/>
      <c r="D33" s="14"/>
      <c r="E33" s="14"/>
      <c r="F33" s="14">
        <v>5</v>
      </c>
      <c r="G33" s="15"/>
      <c r="L33" s="64">
        <f>L32/F31</f>
        <v>0.48234519104084322</v>
      </c>
    </row>
    <row r="34" spans="1:12">
      <c r="A34" s="14"/>
      <c r="B34" s="15" t="s">
        <v>49</v>
      </c>
      <c r="C34" s="14"/>
      <c r="D34" s="14"/>
      <c r="E34" s="14"/>
      <c r="F34" s="14">
        <f>F31/F33</f>
        <v>18216</v>
      </c>
      <c r="G34" s="15"/>
    </row>
    <row r="35" spans="1:12">
      <c r="A35" s="14"/>
      <c r="B35" s="15" t="s">
        <v>100</v>
      </c>
      <c r="C35" s="14"/>
      <c r="D35" s="14"/>
      <c r="E35" s="14"/>
      <c r="F35" s="14">
        <f>F34/5</f>
        <v>3643.2</v>
      </c>
      <c r="G35" s="15"/>
    </row>
  </sheetData>
  <mergeCells count="1">
    <mergeCell ref="A1:G1"/>
  </mergeCells>
  <printOptions horizontalCentered="1"/>
  <pageMargins left="0.2" right="0.2" top="0.25" bottom="0.25" header="0.05" footer="0.0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</vt:lpstr>
      <vt:lpstr>Programme_CoffeeAmigos</vt:lpstr>
      <vt:lpstr>Expense_CoffeeAmigos2016</vt:lpstr>
      <vt:lpstr>Programme_Suntory</vt:lpstr>
      <vt:lpstr>ExpenseSuntory2015</vt:lpstr>
      <vt:lpstr>Programme_CoffeeAmigos!Print_Titles</vt:lpstr>
      <vt:lpstr>Programme_Suntory!Print_Titles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Natworarat</cp:lastModifiedBy>
  <cp:lastPrinted>2015-09-03T07:52:51Z</cp:lastPrinted>
  <dcterms:created xsi:type="dcterms:W3CDTF">2014-10-27T01:29:39Z</dcterms:created>
  <dcterms:modified xsi:type="dcterms:W3CDTF">2015-10-24T08:55:42Z</dcterms:modified>
</cp:coreProperties>
</file>